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ayc\Dropbox\"/>
    </mc:Choice>
  </mc:AlternateContent>
  <xr:revisionPtr revIDLastSave="0" documentId="8_{C594021E-9722-4206-9679-5609527CDCF9}" xr6:coauthVersionLast="45" xr6:coauthVersionMax="45" xr10:uidLastSave="{00000000-0000-0000-0000-000000000000}"/>
  <bookViews>
    <workbookView xWindow="8295" yWindow="1815" windowWidth="21600" windowHeight="11385" tabRatio="601" activeTab="6" xr2:uid="{00000000-000D-0000-FFFF-FFFF00000000}"/>
  </bookViews>
  <sheets>
    <sheet name="Triangles" sheetId="1" r:id="rId1"/>
    <sheet name="Circles" sheetId="2" r:id="rId2"/>
    <sheet name="Rectangles" sheetId="3" r:id="rId3"/>
    <sheet name="Liquids" sheetId="4" r:id="rId4"/>
    <sheet name="Tanks" sheetId="5" r:id="rId5"/>
    <sheet name="Oct &amp; Hex" sheetId="6" r:id="rId6"/>
    <sheet name="Pulleys and belts" sheetId="7" r:id="rId7"/>
    <sheet name="Belt length formulas" sheetId="8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36" i="1"/>
  <c r="I26" i="1"/>
  <c r="L6" i="1"/>
  <c r="I21" i="1"/>
  <c r="I18" i="1"/>
  <c r="I17" i="1"/>
  <c r="J17" i="1"/>
  <c r="J19" i="1"/>
  <c r="J26" i="1"/>
  <c r="J18" i="1"/>
  <c r="J27" i="1"/>
  <c r="E28" i="1"/>
  <c r="B7" i="7"/>
  <c r="J28" i="1"/>
  <c r="H6" i="3"/>
  <c r="I6" i="3"/>
  <c r="H5" i="3"/>
  <c r="H7" i="3"/>
  <c r="I7" i="3"/>
  <c r="H8" i="3"/>
  <c r="I8" i="3"/>
  <c r="I5" i="3"/>
  <c r="F12" i="2"/>
  <c r="F13" i="2"/>
  <c r="F18" i="2"/>
  <c r="F14" i="2"/>
  <c r="F19" i="2"/>
  <c r="F15" i="2"/>
  <c r="F20" i="2"/>
  <c r="F17" i="2"/>
  <c r="D13" i="8"/>
  <c r="B8" i="7"/>
  <c r="B11" i="7"/>
  <c r="B12" i="7" s="1"/>
  <c r="E11" i="6"/>
  <c r="E10" i="6"/>
  <c r="E12" i="6"/>
  <c r="E13" i="6"/>
  <c r="E14" i="6"/>
  <c r="E33" i="6"/>
  <c r="E32" i="6"/>
  <c r="E34" i="6"/>
  <c r="E35" i="6"/>
  <c r="E36" i="6"/>
  <c r="E55" i="6"/>
  <c r="K55" i="6"/>
  <c r="E54" i="6"/>
  <c r="G54" i="6"/>
  <c r="G55" i="6"/>
  <c r="E56" i="6"/>
  <c r="E57" i="6"/>
  <c r="E58" i="6"/>
  <c r="K8" i="5"/>
  <c r="K9" i="5"/>
  <c r="D10" i="5"/>
  <c r="K10" i="5"/>
  <c r="D11" i="5"/>
  <c r="K11" i="5"/>
  <c r="D12" i="5"/>
  <c r="C36" i="5"/>
  <c r="C37" i="5"/>
  <c r="C39" i="5"/>
  <c r="D3" i="4"/>
  <c r="E3" i="4"/>
  <c r="F3" i="4"/>
  <c r="D7" i="4"/>
  <c r="E7" i="4"/>
  <c r="J7" i="4"/>
  <c r="K7" i="4"/>
  <c r="D11" i="4"/>
  <c r="C11" i="4"/>
  <c r="G11" i="4"/>
  <c r="J11" i="4"/>
  <c r="C15" i="4"/>
  <c r="D15" i="4"/>
  <c r="G15" i="4"/>
  <c r="J15" i="4"/>
  <c r="F38" i="2"/>
  <c r="F39" i="2"/>
  <c r="F40" i="2"/>
  <c r="F41" i="2"/>
  <c r="F42" i="2"/>
  <c r="B16" i="1"/>
  <c r="C16" i="1"/>
  <c r="D15" i="8"/>
  <c r="B6" i="8"/>
  <c r="B4" i="8"/>
  <c r="D1" i="8"/>
  <c r="D4" i="8"/>
  <c r="D19" i="8"/>
  <c r="G7" i="8"/>
  <c r="D21" i="8"/>
  <c r="D11" i="8"/>
  <c r="D12" i="8"/>
  <c r="G3" i="8"/>
  <c r="G2" i="8"/>
  <c r="B5" i="8"/>
  <c r="G4" i="8"/>
  <c r="B1" i="8"/>
  <c r="B11" i="8"/>
  <c r="G6" i="8"/>
  <c r="G5" i="8"/>
  <c r="C1" i="8"/>
  <c r="B7" i="8"/>
  <c r="B14" i="1"/>
  <c r="B15" i="1"/>
  <c r="C15" i="1"/>
  <c r="C14" i="1"/>
  <c r="B20" i="1"/>
  <c r="C27" i="1"/>
  <c r="C28" i="1"/>
  <c r="B19" i="1"/>
  <c r="B18" i="1"/>
  <c r="C5" i="1"/>
  <c r="F11" i="1"/>
</calcChain>
</file>

<file path=xl/sharedStrings.xml><?xml version="1.0" encoding="utf-8"?>
<sst xmlns="http://schemas.openxmlformats.org/spreadsheetml/2006/main" count="209" uniqueCount="124">
  <si>
    <t>Side H</t>
  </si>
  <si>
    <t>Side O</t>
  </si>
  <si>
    <t>Side A</t>
  </si>
  <si>
    <t>Sine</t>
  </si>
  <si>
    <t>O</t>
  </si>
  <si>
    <t>H</t>
  </si>
  <si>
    <t>Cosine</t>
  </si>
  <si>
    <t>A</t>
  </si>
  <si>
    <t>Tangent</t>
  </si>
  <si>
    <t>Angle AH=</t>
  </si>
  <si>
    <t>Angle OH=</t>
  </si>
  <si>
    <t>Diameter</t>
  </si>
  <si>
    <t>Diameter =</t>
  </si>
  <si>
    <t>Radius =</t>
  </si>
  <si>
    <t>Circumference =</t>
  </si>
  <si>
    <t>Enter any ONE item</t>
  </si>
  <si>
    <t>PI * R squared</t>
  </si>
  <si>
    <t>Sine= O/H
Cosine= A/H
Tangent= O/A</t>
  </si>
  <si>
    <r>
      <t>S</t>
    </r>
    <r>
      <rPr>
        <sz val="10"/>
        <rFont val="Arial"/>
      </rPr>
      <t xml:space="preserve">ame </t>
    </r>
    <r>
      <rPr>
        <b/>
        <sz val="10"/>
        <rFont val="Arial"/>
        <family val="2"/>
      </rPr>
      <t>O</t>
    </r>
    <r>
      <rPr>
        <sz val="10"/>
        <rFont val="Arial"/>
      </rPr>
      <t xml:space="preserve">ld </t>
    </r>
    <r>
      <rPr>
        <b/>
        <sz val="10"/>
        <rFont val="Arial"/>
        <family val="2"/>
      </rPr>
      <t>H</t>
    </r>
    <r>
      <rPr>
        <sz val="10"/>
        <rFont val="Arial"/>
      </rPr>
      <t xml:space="preserve">orse </t>
    </r>
    <r>
      <rPr>
        <b/>
        <sz val="10"/>
        <rFont val="Arial"/>
        <family val="2"/>
      </rPr>
      <t>C</t>
    </r>
    <r>
      <rPr>
        <sz val="10"/>
        <rFont val="Arial"/>
      </rPr>
      <t xml:space="preserve">ame </t>
    </r>
    <r>
      <rPr>
        <b/>
        <sz val="10"/>
        <rFont val="Arial"/>
        <family val="2"/>
      </rPr>
      <t>A</t>
    </r>
    <r>
      <rPr>
        <sz val="10"/>
        <rFont val="Arial"/>
      </rPr>
      <t xml:space="preserve"> </t>
    </r>
    <r>
      <rPr>
        <b/>
        <sz val="10"/>
        <rFont val="Arial"/>
        <family val="2"/>
      </rPr>
      <t>H</t>
    </r>
    <r>
      <rPr>
        <sz val="10"/>
        <rFont val="Arial"/>
      </rPr>
      <t xml:space="preserve">opping </t>
    </r>
    <r>
      <rPr>
        <b/>
        <sz val="10"/>
        <rFont val="Arial"/>
        <family val="2"/>
      </rPr>
      <t>T</t>
    </r>
    <r>
      <rPr>
        <sz val="10"/>
        <rFont val="Arial"/>
      </rPr>
      <t xml:space="preserve">hrough </t>
    </r>
    <r>
      <rPr>
        <b/>
        <sz val="10"/>
        <rFont val="Arial"/>
        <family val="2"/>
      </rPr>
      <t>O</t>
    </r>
    <r>
      <rPr>
        <sz val="10"/>
        <rFont val="Arial"/>
      </rPr>
      <t xml:space="preserve">ur </t>
    </r>
    <r>
      <rPr>
        <b/>
        <sz val="10"/>
        <rFont val="Arial"/>
        <family val="2"/>
      </rPr>
      <t>A</t>
    </r>
    <r>
      <rPr>
        <sz val="10"/>
        <rFont val="Arial"/>
      </rPr>
      <t>rea</t>
    </r>
  </si>
  <si>
    <t>Fractions to a 64th</t>
  </si>
  <si>
    <t>Square Area =</t>
  </si>
  <si>
    <t>Fractions Rounded to a 64th (+ - .0078)</t>
  </si>
  <si>
    <t>Fractions have a possible error of + or  - 1/128</t>
  </si>
  <si>
    <t>Side B</t>
  </si>
  <si>
    <t>Square Area</t>
  </si>
  <si>
    <t>Corner to Corner</t>
  </si>
  <si>
    <t>Sq Area</t>
  </si>
  <si>
    <t>Enter any two</t>
  </si>
  <si>
    <t>Flow in GPM vs. Concentration in ppm</t>
  </si>
  <si>
    <t>Main Flow GPM</t>
  </si>
  <si>
    <t>Desired Concentration
in ppm</t>
  </si>
  <si>
    <t>Concentration of Additive in percent</t>
  </si>
  <si>
    <t>ml /Minute
Needed</t>
  </si>
  <si>
    <t>Liters Per day</t>
  </si>
  <si>
    <t>Gallons Per Day</t>
  </si>
  <si>
    <t>Volumetric mixing  V1C1=V2C2</t>
  </si>
  <si>
    <t>Total Volume to be prepared</t>
  </si>
  <si>
    <t>Desired Concentration in Percent</t>
  </si>
  <si>
    <t>Concentrate Percentage</t>
  </si>
  <si>
    <t>Volume to be added</t>
  </si>
  <si>
    <t>Water to be added</t>
  </si>
  <si>
    <t>Weight to Volume</t>
  </si>
  <si>
    <t>Pounds to Kg</t>
  </si>
  <si>
    <t>Weight of the Liquid in Pounds</t>
  </si>
  <si>
    <t>Specific Gravity of the Liquid</t>
  </si>
  <si>
    <t xml:space="preserve">Metric Volume in Liters </t>
  </si>
  <si>
    <t xml:space="preserve">US Volume in Gallons </t>
  </si>
  <si>
    <t>Pounds</t>
  </si>
  <si>
    <t>Kilograms</t>
  </si>
  <si>
    <t>Gallons to Pounds / Kg</t>
  </si>
  <si>
    <t>Kg to Pounds</t>
  </si>
  <si>
    <t>Gallons of Liquid</t>
  </si>
  <si>
    <t>Specific Gravity</t>
  </si>
  <si>
    <t>Height</t>
  </si>
  <si>
    <t>Cu Ft.</t>
  </si>
  <si>
    <t>Gallons</t>
  </si>
  <si>
    <t>Round Tanks</t>
  </si>
  <si>
    <t>Enter dimensions in feet or gallons and 1 dimension</t>
  </si>
  <si>
    <t>D</t>
  </si>
  <si>
    <t>W</t>
  </si>
  <si>
    <t>Depth</t>
  </si>
  <si>
    <t>Width</t>
  </si>
  <si>
    <t>Rectangular Tanks</t>
  </si>
  <si>
    <t xml:space="preserve">Enter Any 3 Items </t>
  </si>
  <si>
    <t>H x D x W x 7.48 = Gallons</t>
  </si>
  <si>
    <t>PI * R Squared * H * 7.48 = Gallons</t>
  </si>
  <si>
    <t>Gallons to Liters</t>
  </si>
  <si>
    <t>Liters</t>
  </si>
  <si>
    <t>Liters to Gallons</t>
  </si>
  <si>
    <t>A=</t>
  </si>
  <si>
    <t>B=</t>
  </si>
  <si>
    <t>C=</t>
  </si>
  <si>
    <t>Number of sides =</t>
  </si>
  <si>
    <t>Length of the flat element</t>
  </si>
  <si>
    <t>Concentrate PPM</t>
  </si>
  <si>
    <t>Desired PPM</t>
  </si>
  <si>
    <t>"C A"  angle =</t>
  </si>
  <si>
    <t>"C A" angle =</t>
  </si>
  <si>
    <t>R= Radius of the Arc</t>
  </si>
  <si>
    <t>W= Width of Arc</t>
  </si>
  <si>
    <t>H= Height of Arc</t>
  </si>
  <si>
    <t>R=</t>
  </si>
  <si>
    <t>H=</t>
  </si>
  <si>
    <t>W=</t>
  </si>
  <si>
    <t>Arc Segments</t>
  </si>
  <si>
    <t>R= H/2 + (W^2 / 8H)</t>
  </si>
  <si>
    <t>D= Diameter</t>
  </si>
  <si>
    <t>D=</t>
  </si>
  <si>
    <t>A= Area of Segment</t>
  </si>
  <si>
    <t xml:space="preserve">Horizontal Round Tank
</t>
  </si>
  <si>
    <t>Volume at chosen level</t>
  </si>
  <si>
    <t>Gallons assumes all dimensions are in inches</t>
  </si>
  <si>
    <t>Length</t>
  </si>
  <si>
    <t>Level</t>
  </si>
  <si>
    <t>Cubic volume</t>
  </si>
  <si>
    <t>Scratch Pad</t>
  </si>
  <si>
    <t>Full Tank</t>
  </si>
  <si>
    <t>Motor RPM</t>
  </si>
  <si>
    <r>
      <rPr>
        <b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=   Driven pulley diameter</t>
    </r>
  </si>
  <si>
    <r>
      <rPr>
        <b/>
        <sz val="10"/>
        <color indexed="10"/>
        <rFont val="Arial"/>
        <family val="2"/>
      </rPr>
      <t>B</t>
    </r>
    <r>
      <rPr>
        <sz val="10"/>
        <rFont val="Arial"/>
        <family val="2"/>
      </rPr>
      <t xml:space="preserve">  =  Drive pulley diameter</t>
    </r>
  </si>
  <si>
    <r>
      <rPr>
        <b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  =  Distance between shaft centers</t>
    </r>
  </si>
  <si>
    <r>
      <rPr>
        <b/>
        <sz val="10"/>
        <color indexed="10"/>
        <rFont val="Arial"/>
        <family val="2"/>
      </rPr>
      <t>B</t>
    </r>
    <r>
      <rPr>
        <sz val="10"/>
        <rFont val="Arial"/>
      </rPr>
      <t xml:space="preserve"> </t>
    </r>
  </si>
  <si>
    <t>C</t>
  </si>
  <si>
    <t>Driven Shaft RPM</t>
  </si>
  <si>
    <t>Driven Disk Diameter</t>
  </si>
  <si>
    <t>Driven Disk Feet Per Minute</t>
  </si>
  <si>
    <t>Driven Disk Feet Per Second</t>
  </si>
  <si>
    <t xml:space="preserve"> </t>
  </si>
  <si>
    <t>2x</t>
  </si>
  <si>
    <t>2theda</t>
  </si>
  <si>
    <t>alpha</t>
  </si>
  <si>
    <t>l1</t>
  </si>
  <si>
    <t>l2</t>
  </si>
  <si>
    <t>theda</t>
  </si>
  <si>
    <t>Tight Belt Length</t>
  </si>
  <si>
    <t>((SQRT(($B$4^2)-(ABS($B$2-$B$3)/2)^2))*2)+(((ACOS(((($B$3/2)-(($B$2)/2))/$B$4)))*2)*(($B$2/2))+(2*PI()-((ACOS(((($B$3/2)-(($B$2)/2))/$B$4)))*2))*($B$2/2))</t>
  </si>
  <si>
    <t>(ACOS(((($B$2/2)-(($B$3)/2))/$B$4)))</t>
  </si>
  <si>
    <t>(ACOS(((($B$2/2)-(($B$3)/2))/$B$4)))*2</t>
  </si>
  <si>
    <t>Angle  AH</t>
  </si>
  <si>
    <t>Angle  OH</t>
  </si>
  <si>
    <t>Enter Angle "AH" and one Dimension</t>
  </si>
  <si>
    <t>sin AH</t>
  </si>
  <si>
    <t>asin</t>
  </si>
  <si>
    <t>Enter any two sides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</si>
</sst>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#\ ??/32"/>
    <numFmt numFmtId="167" formatCode="#\ ??/64"/>
  </numFmts>
  <fonts count="18" x14ac:knownFonts="1">
    <font>
      <sz val="10"/>
      <name val="Arial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</font>
    <font>
      <b/>
      <i/>
      <sz val="10"/>
      <name val="Arial"/>
      <family val="2"/>
    </font>
    <font>
      <sz val="22"/>
      <name val="Arial"/>
    </font>
    <font>
      <sz val="12"/>
      <name val="Arial"/>
    </font>
    <font>
      <b/>
      <i/>
      <sz val="12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164" fontId="0" fillId="3" borderId="3" xfId="0" applyNumberFormat="1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9" xfId="0" applyBorder="1"/>
    <xf numFmtId="0" fontId="0" fillId="2" borderId="1" xfId="0" applyFill="1" applyBorder="1"/>
    <xf numFmtId="0" fontId="0" fillId="2" borderId="13" xfId="0" applyFill="1" applyBorder="1"/>
    <xf numFmtId="0" fontId="0" fillId="2" borderId="2" xfId="0" applyFill="1" applyBorder="1"/>
    <xf numFmtId="0" fontId="0" fillId="2" borderId="5" xfId="0" applyFill="1" applyBorder="1" applyAlignment="1" applyProtection="1">
      <alignment horizontal="right"/>
      <protection hidden="1"/>
    </xf>
    <xf numFmtId="0" fontId="0" fillId="2" borderId="8" xfId="0" applyFill="1" applyBorder="1" applyAlignment="1" applyProtection="1">
      <alignment horizontal="right"/>
      <protection hidden="1"/>
    </xf>
    <xf numFmtId="0" fontId="0" fillId="2" borderId="10" xfId="0" applyFill="1" applyBorder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12" fontId="0" fillId="4" borderId="1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/>
    <xf numFmtId="0" fontId="0" fillId="2" borderId="3" xfId="0" applyFill="1" applyBorder="1"/>
    <xf numFmtId="0" fontId="0" fillId="2" borderId="9" xfId="0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4" fontId="0" fillId="5" borderId="7" xfId="0" applyNumberFormat="1" applyFill="1" applyBorder="1" applyAlignment="1" applyProtection="1">
      <alignment horizontal="center"/>
      <protection hidden="1"/>
    </xf>
    <xf numFmtId="164" fontId="0" fillId="5" borderId="3" xfId="0" applyNumberFormat="1" applyFill="1" applyBorder="1" applyAlignment="1" applyProtection="1">
      <alignment horizontal="center"/>
      <protection hidden="1"/>
    </xf>
    <xf numFmtId="0" fontId="0" fillId="4" borderId="3" xfId="0" applyFill="1" applyBorder="1" applyProtection="1">
      <protection locked="0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2" fontId="0" fillId="3" borderId="3" xfId="0" applyNumberFormat="1" applyFill="1" applyBorder="1" applyAlignment="1" applyProtection="1">
      <alignment horizontal="center"/>
      <protection hidden="1"/>
    </xf>
    <xf numFmtId="0" fontId="0" fillId="6" borderId="18" xfId="0" applyFill="1" applyBorder="1"/>
    <xf numFmtId="0" fontId="2" fillId="6" borderId="19" xfId="0" applyFont="1" applyFill="1" applyBorder="1"/>
    <xf numFmtId="0" fontId="0" fillId="6" borderId="19" xfId="0" applyFill="1" applyBorder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wrapText="1"/>
    </xf>
    <xf numFmtId="164" fontId="0" fillId="3" borderId="21" xfId="0" applyNumberFormat="1" applyFill="1" applyBorder="1" applyAlignment="1" applyProtection="1">
      <alignment horizontal="center"/>
      <protection hidden="1"/>
    </xf>
    <xf numFmtId="0" fontId="0" fillId="6" borderId="22" xfId="0" applyFill="1" applyBorder="1" applyAlignment="1">
      <alignment horizontal="center" vertical="center" wrapText="1"/>
    </xf>
    <xf numFmtId="165" fontId="0" fillId="3" borderId="21" xfId="0" applyNumberForma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locked="0"/>
    </xf>
    <xf numFmtId="9" fontId="0" fillId="4" borderId="3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10" fontId="0" fillId="4" borderId="21" xfId="0" applyNumberFormat="1" applyFill="1" applyBorder="1" applyAlignment="1" applyProtection="1">
      <alignment horizontal="center"/>
      <protection locked="0"/>
    </xf>
    <xf numFmtId="2" fontId="0" fillId="4" borderId="21" xfId="0" applyNumberFormat="1" applyFill="1" applyBorder="1" applyAlignment="1" applyProtection="1">
      <alignment horizontal="center"/>
      <protection locked="0"/>
    </xf>
    <xf numFmtId="165" fontId="0" fillId="4" borderId="21" xfId="0" applyNumberFormat="1" applyFill="1" applyBorder="1" applyAlignment="1" applyProtection="1">
      <alignment horizontal="center"/>
      <protection locked="0"/>
    </xf>
    <xf numFmtId="164" fontId="0" fillId="4" borderId="21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" borderId="5" xfId="0" applyFont="1" applyFill="1" applyBorder="1"/>
    <xf numFmtId="0" fontId="3" fillId="2" borderId="24" xfId="0" applyFont="1" applyFill="1" applyBorder="1"/>
    <xf numFmtId="164" fontId="0" fillId="6" borderId="7" xfId="0" applyNumberFormat="1" applyFill="1" applyBorder="1" applyAlignment="1">
      <alignment horizontal="center"/>
    </xf>
    <xf numFmtId="165" fontId="0" fillId="6" borderId="16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0" fontId="0" fillId="2" borderId="8" xfId="0" applyFill="1" applyBorder="1" applyAlignment="1">
      <alignment horizontal="left" indent="2"/>
    </xf>
    <xf numFmtId="0" fontId="0" fillId="4" borderId="2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26" xfId="0" applyFill="1" applyBorder="1"/>
    <xf numFmtId="0" fontId="0" fillId="4" borderId="7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0" borderId="24" xfId="0" applyBorder="1"/>
    <xf numFmtId="0" fontId="0" fillId="0" borderId="16" xfId="0" applyBorder="1"/>
    <xf numFmtId="13" fontId="0" fillId="2" borderId="0" xfId="0" applyNumberFormat="1" applyFill="1" applyBorder="1" applyAlignment="1">
      <alignment horizontal="center"/>
    </xf>
    <xf numFmtId="0" fontId="4" fillId="2" borderId="24" xfId="0" applyFont="1" applyFill="1" applyBorder="1"/>
    <xf numFmtId="0" fontId="0" fillId="2" borderId="27" xfId="0" applyFill="1" applyBorder="1"/>
    <xf numFmtId="0" fontId="5" fillId="0" borderId="24" xfId="0" applyFont="1" applyBorder="1" applyAlignment="1">
      <alignment horizontal="left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0" borderId="0" xfId="0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0" fillId="2" borderId="6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164" fontId="0" fillId="2" borderId="0" xfId="0" applyNumberFormat="1" applyFill="1" applyBorder="1" applyProtection="1"/>
    <xf numFmtId="0" fontId="0" fillId="2" borderId="12" xfId="0" applyFill="1" applyBorder="1" applyProtection="1"/>
    <xf numFmtId="0" fontId="0" fillId="2" borderId="0" xfId="0" applyFill="1" applyBorder="1" applyAlignment="1" applyProtection="1">
      <alignment horizontal="left" indent="3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4" xfId="0" applyFill="1" applyBorder="1" applyProtection="1"/>
    <xf numFmtId="0" fontId="0" fillId="2" borderId="27" xfId="0" applyFill="1" applyBorder="1" applyProtection="1"/>
    <xf numFmtId="0" fontId="0" fillId="2" borderId="0" xfId="0" applyFill="1" applyProtection="1"/>
    <xf numFmtId="164" fontId="0" fillId="2" borderId="11" xfId="0" applyNumberFormat="1" applyFill="1" applyBorder="1" applyProtection="1"/>
    <xf numFmtId="0" fontId="0" fillId="2" borderId="12" xfId="0" applyFill="1" applyBorder="1" applyAlignment="1" applyProtection="1">
      <alignment horizontal="right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3" borderId="13" xfId="0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left" vertical="center" indent="2"/>
    </xf>
    <xf numFmtId="0" fontId="0" fillId="2" borderId="10" xfId="0" applyFill="1" applyBorder="1" applyAlignment="1" applyProtection="1">
      <alignment horizontal="left" vertical="center" indent="2"/>
    </xf>
    <xf numFmtId="0" fontId="0" fillId="2" borderId="3" xfId="0" applyFill="1" applyBorder="1" applyProtection="1"/>
    <xf numFmtId="164" fontId="0" fillId="3" borderId="3" xfId="0" applyNumberFormat="1" applyFill="1" applyBorder="1" applyAlignment="1" applyProtection="1">
      <alignment horizontal="center" vertical="center"/>
    </xf>
    <xf numFmtId="0" fontId="0" fillId="2" borderId="32" xfId="0" applyFill="1" applyBorder="1" applyProtection="1"/>
    <xf numFmtId="0" fontId="0" fillId="2" borderId="0" xfId="0" applyFill="1" applyBorder="1" applyAlignment="1" applyProtection="1">
      <alignment horizontal="right"/>
    </xf>
    <xf numFmtId="164" fontId="0" fillId="3" borderId="13" xfId="0" applyNumberFormat="1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right" vertical="center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0" xfId="0" applyFill="1" applyBorder="1" applyAlignment="1">
      <alignment horizontal="left" indent="6"/>
    </xf>
    <xf numFmtId="0" fontId="0" fillId="2" borderId="0" xfId="0" applyFill="1" applyBorder="1" applyAlignment="1"/>
    <xf numFmtId="0" fontId="0" fillId="0" borderId="0" xfId="0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/>
    <xf numFmtId="2" fontId="0" fillId="7" borderId="1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0" fillId="2" borderId="7" xfId="0" applyNumberFormat="1" applyFill="1" applyBorder="1" applyAlignment="1">
      <alignment horizontal="center"/>
    </xf>
    <xf numFmtId="0" fontId="10" fillId="2" borderId="5" xfId="0" applyFont="1" applyFill="1" applyBorder="1" applyProtection="1"/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2" fontId="0" fillId="7" borderId="3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/>
    <xf numFmtId="0" fontId="0" fillId="2" borderId="0" xfId="0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2" fontId="0" fillId="8" borderId="3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/>
    </xf>
    <xf numFmtId="164" fontId="0" fillId="6" borderId="13" xfId="0" applyNumberFormat="1" applyFill="1" applyBorder="1" applyAlignment="1" applyProtection="1">
      <alignment horizontal="center"/>
    </xf>
    <xf numFmtId="164" fontId="0" fillId="6" borderId="2" xfId="0" applyNumberFormat="1" applyFill="1" applyBorder="1" applyAlignment="1" applyProtection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9" borderId="6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0" xfId="0" applyFill="1" applyBorder="1" applyProtection="1">
      <protection locked="0"/>
    </xf>
    <xf numFmtId="2" fontId="0" fillId="9" borderId="0" xfId="0" applyNumberFormat="1" applyFill="1" applyBorder="1" applyProtection="1">
      <protection locked="0"/>
    </xf>
    <xf numFmtId="0" fontId="0" fillId="9" borderId="9" xfId="0" applyFill="1" applyBorder="1" applyProtection="1">
      <protection locked="0"/>
    </xf>
    <xf numFmtId="166" fontId="0" fillId="9" borderId="0" xfId="0" applyNumberFormat="1" applyFill="1" applyBorder="1" applyProtection="1">
      <protection locked="0"/>
    </xf>
    <xf numFmtId="164" fontId="0" fillId="9" borderId="0" xfId="0" applyNumberFormat="1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9" borderId="12" xfId="0" applyFill="1" applyBorder="1" applyProtection="1">
      <protection locked="0"/>
    </xf>
    <xf numFmtId="164" fontId="0" fillId="9" borderId="0" xfId="0" applyNumberForma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0" fillId="9" borderId="7" xfId="0" applyFill="1" applyBorder="1" applyAlignment="1" applyProtection="1">
      <alignment wrapText="1"/>
      <protection locked="0"/>
    </xf>
    <xf numFmtId="0" fontId="0" fillId="9" borderId="8" xfId="0" applyFill="1" applyBorder="1" applyAlignment="1" applyProtection="1">
      <alignment horizontal="right"/>
      <protection locked="0"/>
    </xf>
    <xf numFmtId="0" fontId="0" fillId="9" borderId="6" xfId="0" applyFill="1" applyBorder="1" applyAlignment="1" applyProtection="1">
      <alignment horizontal="center" vertical="center" wrapText="1"/>
      <protection locked="0"/>
    </xf>
    <xf numFmtId="0" fontId="12" fillId="9" borderId="5" xfId="0" applyFont="1" applyFill="1" applyBorder="1" applyProtection="1"/>
    <xf numFmtId="167" fontId="0" fillId="6" borderId="1" xfId="0" applyNumberFormat="1" applyFill="1" applyBorder="1" applyAlignment="1" applyProtection="1">
      <alignment horizontal="center"/>
    </xf>
    <xf numFmtId="164" fontId="0" fillId="6" borderId="33" xfId="0" applyNumberFormat="1" applyFill="1" applyBorder="1" applyAlignment="1" applyProtection="1">
      <alignment horizontal="center"/>
    </xf>
    <xf numFmtId="0" fontId="12" fillId="2" borderId="5" xfId="0" applyFont="1" applyFill="1" applyBorder="1" applyProtection="1"/>
    <xf numFmtId="2" fontId="0" fillId="2" borderId="6" xfId="0" applyNumberForma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167" fontId="0" fillId="5" borderId="1" xfId="0" applyNumberFormat="1" applyFill="1" applyBorder="1" applyAlignment="1" applyProtection="1">
      <alignment horizontal="left" indent="1"/>
    </xf>
    <xf numFmtId="0" fontId="12" fillId="9" borderId="8" xfId="0" applyFont="1" applyFill="1" applyBorder="1" applyProtection="1"/>
    <xf numFmtId="0" fontId="17" fillId="9" borderId="6" xfId="0" applyFont="1" applyFill="1" applyBorder="1" applyProtection="1">
      <protection locked="0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0" fontId="17" fillId="9" borderId="8" xfId="0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Border="1" applyProtection="1">
      <protection locked="0"/>
    </xf>
    <xf numFmtId="0" fontId="17" fillId="9" borderId="0" xfId="0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Border="1" applyAlignment="1" applyProtection="1">
      <alignment horizontal="center"/>
      <protection locked="0"/>
    </xf>
    <xf numFmtId="0" fontId="17" fillId="9" borderId="8" xfId="0" applyFont="1" applyFill="1" applyBorder="1" applyAlignment="1" applyProtection="1">
      <alignment vertical="center"/>
      <protection locked="0"/>
    </xf>
    <xf numFmtId="0" fontId="17" fillId="9" borderId="8" xfId="0" applyFont="1" applyFill="1" applyBorder="1" applyProtection="1">
      <protection locked="0"/>
    </xf>
    <xf numFmtId="0" fontId="16" fillId="9" borderId="8" xfId="0" applyFont="1" applyFill="1" applyBorder="1" applyProtection="1">
      <protection locked="0"/>
    </xf>
    <xf numFmtId="0" fontId="16" fillId="9" borderId="0" xfId="0" applyFont="1" applyFill="1" applyBorder="1" applyProtection="1">
      <protection locked="0"/>
    </xf>
    <xf numFmtId="0" fontId="16" fillId="9" borderId="10" xfId="0" applyFont="1" applyFill="1" applyBorder="1" applyProtection="1">
      <protection locked="0"/>
    </xf>
    <xf numFmtId="0" fontId="16" fillId="9" borderId="11" xfId="0" applyFont="1" applyFill="1" applyBorder="1" applyProtection="1">
      <protection locked="0"/>
    </xf>
    <xf numFmtId="0" fontId="17" fillId="9" borderId="5" xfId="0" applyFont="1" applyFill="1" applyBorder="1" applyAlignment="1" applyProtection="1">
      <alignment horizontal="left" vertical="top"/>
    </xf>
    <xf numFmtId="0" fontId="0" fillId="2" borderId="0" xfId="0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Border="1"/>
    <xf numFmtId="0" fontId="0" fillId="4" borderId="29" xfId="0" applyFill="1" applyBorder="1" applyAlignment="1" applyProtection="1">
      <alignment horizontal="center"/>
      <protection locked="0"/>
    </xf>
    <xf numFmtId="0" fontId="0" fillId="9" borderId="8" xfId="0" applyFill="1" applyBorder="1"/>
    <xf numFmtId="0" fontId="0" fillId="2" borderId="12" xfId="0" applyFill="1" applyBorder="1" applyAlignment="1">
      <alignment horizontal="left" vertical="center"/>
    </xf>
    <xf numFmtId="0" fontId="12" fillId="2" borderId="1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left" vertical="center"/>
    </xf>
    <xf numFmtId="164" fontId="0" fillId="4" borderId="29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164" fontId="0" fillId="10" borderId="29" xfId="0" applyNumberFormat="1" applyFill="1" applyBorder="1" applyAlignment="1" applyProtection="1">
      <alignment horizontal="center"/>
    </xf>
    <xf numFmtId="0" fontId="12" fillId="2" borderId="6" xfId="0" applyFont="1" applyFill="1" applyBorder="1"/>
    <xf numFmtId="0" fontId="0" fillId="0" borderId="9" xfId="0" applyBorder="1" applyProtection="1"/>
    <xf numFmtId="2" fontId="0" fillId="3" borderId="3" xfId="0" applyNumberFormat="1" applyFill="1" applyBorder="1" applyAlignment="1" applyProtection="1">
      <alignment horizontal="center"/>
    </xf>
    <xf numFmtId="2" fontId="0" fillId="3" borderId="3" xfId="0" applyNumberFormat="1" applyFill="1" applyBorder="1" applyProtection="1"/>
    <xf numFmtId="164" fontId="0" fillId="3" borderId="14" xfId="0" applyNumberFormat="1" applyFill="1" applyBorder="1" applyAlignment="1" applyProtection="1">
      <alignment horizontal="center"/>
    </xf>
    <xf numFmtId="167" fontId="0" fillId="3" borderId="1" xfId="0" applyNumberFormat="1" applyFill="1" applyBorder="1" applyAlignment="1" applyProtection="1">
      <alignment horizontal="center"/>
    </xf>
    <xf numFmtId="164" fontId="0" fillId="3" borderId="15" xfId="0" applyNumberFormat="1" applyFill="1" applyBorder="1" applyAlignment="1" applyProtection="1">
      <alignment horizontal="center"/>
    </xf>
    <xf numFmtId="167" fontId="0" fillId="3" borderId="3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3" borderId="3" xfId="0" applyNumberFormat="1" applyFill="1" applyBorder="1" applyAlignment="1" applyProtection="1">
      <alignment horizontal="center"/>
    </xf>
    <xf numFmtId="0" fontId="0" fillId="9" borderId="3" xfId="0" applyFill="1" applyBorder="1" applyProtection="1">
      <protection locked="0"/>
    </xf>
    <xf numFmtId="164" fontId="0" fillId="9" borderId="3" xfId="0" applyNumberFormat="1" applyFill="1" applyBorder="1" applyProtection="1"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righ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2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6" borderId="18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4</xdr:row>
      <xdr:rowOff>9525</xdr:rowOff>
    </xdr:from>
    <xdr:to>
      <xdr:col>9</xdr:col>
      <xdr:colOff>828675</xdr:colOff>
      <xdr:row>14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76275"/>
          <a:ext cx="1752600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5</xdr:row>
      <xdr:rowOff>19050</xdr:rowOff>
    </xdr:from>
    <xdr:to>
      <xdr:col>3</xdr:col>
      <xdr:colOff>504825</xdr:colOff>
      <xdr:row>12</xdr:row>
      <xdr:rowOff>9525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4950" y="857250"/>
          <a:ext cx="1152525" cy="1143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676275</xdr:colOff>
      <xdr:row>32</xdr:row>
      <xdr:rowOff>38100</xdr:rowOff>
    </xdr:from>
    <xdr:to>
      <xdr:col>7</xdr:col>
      <xdr:colOff>352425</xdr:colOff>
      <xdr:row>39</xdr:row>
      <xdr:rowOff>28575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8525" y="5353050"/>
          <a:ext cx="1152525" cy="1143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3</xdr:col>
      <xdr:colOff>114300</xdr:colOff>
      <xdr:row>15</xdr:row>
      <xdr:rowOff>142875</xdr:rowOff>
    </xdr:to>
    <xdr:sp macro="" textlink="">
      <xdr:nvSpPr>
        <xdr:cNvPr id="16340" name="Oval 1">
          <a:extLst>
            <a:ext uri="{FF2B5EF4-FFF2-40B4-BE49-F238E27FC236}">
              <a16:creationId xmlns:a16="http://schemas.microsoft.com/office/drawing/2014/main" id="{00000000-0008-0000-0100-0000D43F0000}"/>
            </a:ext>
          </a:extLst>
        </xdr:cNvPr>
        <xdr:cNvSpPr>
          <a:spLocks noChangeArrowheads="1"/>
        </xdr:cNvSpPr>
      </xdr:nvSpPr>
      <xdr:spPr bwMode="auto">
        <a:xfrm>
          <a:off x="28575" y="647700"/>
          <a:ext cx="1933575" cy="1962150"/>
        </a:xfrm>
        <a:prstGeom prst="ellipse">
          <a:avLst/>
        </a:prstGeom>
        <a:solidFill>
          <a:srgbClr val="00CC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6</xdr:row>
      <xdr:rowOff>9525</xdr:rowOff>
    </xdr:from>
    <xdr:to>
      <xdr:col>1</xdr:col>
      <xdr:colOff>381000</xdr:colOff>
      <xdr:row>9</xdr:row>
      <xdr:rowOff>152400</xdr:rowOff>
    </xdr:to>
    <xdr:sp macro="" textlink="">
      <xdr:nvSpPr>
        <xdr:cNvPr id="16341" name="Line 4">
          <a:extLst>
            <a:ext uri="{FF2B5EF4-FFF2-40B4-BE49-F238E27FC236}">
              <a16:creationId xmlns:a16="http://schemas.microsoft.com/office/drawing/2014/main" id="{00000000-0008-0000-0100-0000D53F0000}"/>
            </a:ext>
          </a:extLst>
        </xdr:cNvPr>
        <xdr:cNvSpPr>
          <a:spLocks noChangeShapeType="1"/>
        </xdr:cNvSpPr>
      </xdr:nvSpPr>
      <xdr:spPr bwMode="auto">
        <a:xfrm flipH="1" flipV="1">
          <a:off x="352425" y="990600"/>
          <a:ext cx="6381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352425</xdr:colOff>
      <xdr:row>9</xdr:row>
      <xdr:rowOff>114300</xdr:rowOff>
    </xdr:from>
    <xdr:to>
      <xdr:col>1</xdr:col>
      <xdr:colOff>428625</xdr:colOff>
      <xdr:row>10</xdr:row>
      <xdr:rowOff>28575</xdr:rowOff>
    </xdr:to>
    <xdr:sp macro="" textlink="">
      <xdr:nvSpPr>
        <xdr:cNvPr id="16342" name="AutoShape 5">
          <a:extLst>
            <a:ext uri="{FF2B5EF4-FFF2-40B4-BE49-F238E27FC236}">
              <a16:creationId xmlns:a16="http://schemas.microsoft.com/office/drawing/2014/main" id="{00000000-0008-0000-0100-0000D63F0000}"/>
            </a:ext>
          </a:extLst>
        </xdr:cNvPr>
        <xdr:cNvSpPr>
          <a:spLocks noChangeArrowheads="1"/>
        </xdr:cNvSpPr>
      </xdr:nvSpPr>
      <xdr:spPr bwMode="auto">
        <a:xfrm>
          <a:off x="962025" y="1590675"/>
          <a:ext cx="76200" cy="762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2147483646 w 21600"/>
            <a:gd name="T15" fmla="*/ 2147483646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27</xdr:row>
      <xdr:rowOff>95250</xdr:rowOff>
    </xdr:from>
    <xdr:to>
      <xdr:col>4</xdr:col>
      <xdr:colOff>676275</xdr:colOff>
      <xdr:row>39</xdr:row>
      <xdr:rowOff>123825</xdr:rowOff>
    </xdr:to>
    <xdr:sp macro="" textlink="">
      <xdr:nvSpPr>
        <xdr:cNvPr id="16343" name="Oval 25">
          <a:extLst>
            <a:ext uri="{FF2B5EF4-FFF2-40B4-BE49-F238E27FC236}">
              <a16:creationId xmlns:a16="http://schemas.microsoft.com/office/drawing/2014/main" id="{00000000-0008-0000-0100-0000D73F0000}"/>
            </a:ext>
          </a:extLst>
        </xdr:cNvPr>
        <xdr:cNvSpPr>
          <a:spLocks noChangeArrowheads="1"/>
        </xdr:cNvSpPr>
      </xdr:nvSpPr>
      <xdr:spPr bwMode="auto">
        <a:xfrm>
          <a:off x="990600" y="4695825"/>
          <a:ext cx="1971675" cy="2000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33</xdr:row>
      <xdr:rowOff>114300</xdr:rowOff>
    </xdr:from>
    <xdr:to>
      <xdr:col>3</xdr:col>
      <xdr:colOff>171450</xdr:colOff>
      <xdr:row>33</xdr:row>
      <xdr:rowOff>114300</xdr:rowOff>
    </xdr:to>
    <xdr:sp macro="" textlink="">
      <xdr:nvSpPr>
        <xdr:cNvPr id="16344" name="Line 26">
          <a:extLst>
            <a:ext uri="{FF2B5EF4-FFF2-40B4-BE49-F238E27FC236}">
              <a16:creationId xmlns:a16="http://schemas.microsoft.com/office/drawing/2014/main" id="{00000000-0008-0000-0100-0000D83F0000}"/>
            </a:ext>
          </a:extLst>
        </xdr:cNvPr>
        <xdr:cNvSpPr>
          <a:spLocks noChangeShapeType="1"/>
        </xdr:cNvSpPr>
      </xdr:nvSpPr>
      <xdr:spPr bwMode="auto">
        <a:xfrm flipH="1">
          <a:off x="1009650" y="56864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30</xdr:row>
      <xdr:rowOff>0</xdr:rowOff>
    </xdr:from>
    <xdr:to>
      <xdr:col>4</xdr:col>
      <xdr:colOff>962025</xdr:colOff>
      <xdr:row>30</xdr:row>
      <xdr:rowOff>0</xdr:rowOff>
    </xdr:to>
    <xdr:sp macro="" textlink="">
      <xdr:nvSpPr>
        <xdr:cNvPr id="16345" name="Line 27">
          <a:extLst>
            <a:ext uri="{FF2B5EF4-FFF2-40B4-BE49-F238E27FC236}">
              <a16:creationId xmlns:a16="http://schemas.microsoft.com/office/drawing/2014/main" id="{00000000-0008-0000-0100-0000D93F0000}"/>
            </a:ext>
          </a:extLst>
        </xdr:cNvPr>
        <xdr:cNvSpPr>
          <a:spLocks noChangeShapeType="1"/>
        </xdr:cNvSpPr>
      </xdr:nvSpPr>
      <xdr:spPr bwMode="auto">
        <a:xfrm>
          <a:off x="733425" y="50863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27</xdr:row>
      <xdr:rowOff>85725</xdr:rowOff>
    </xdr:from>
    <xdr:to>
      <xdr:col>4</xdr:col>
      <xdr:colOff>942975</xdr:colOff>
      <xdr:row>27</xdr:row>
      <xdr:rowOff>85725</xdr:rowOff>
    </xdr:to>
    <xdr:sp macro="" textlink="">
      <xdr:nvSpPr>
        <xdr:cNvPr id="16346" name="Line 28">
          <a:extLst>
            <a:ext uri="{FF2B5EF4-FFF2-40B4-BE49-F238E27FC236}">
              <a16:creationId xmlns:a16="http://schemas.microsoft.com/office/drawing/2014/main" id="{00000000-0008-0000-0100-0000DA3F0000}"/>
            </a:ext>
          </a:extLst>
        </xdr:cNvPr>
        <xdr:cNvSpPr>
          <a:spLocks noChangeShapeType="1"/>
        </xdr:cNvSpPr>
      </xdr:nvSpPr>
      <xdr:spPr bwMode="auto">
        <a:xfrm>
          <a:off x="2324100" y="46863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571500</xdr:colOff>
      <xdr:row>30</xdr:row>
      <xdr:rowOff>66675</xdr:rowOff>
    </xdr:from>
    <xdr:to>
      <xdr:col>1</xdr:col>
      <xdr:colOff>571500</xdr:colOff>
      <xdr:row>31</xdr:row>
      <xdr:rowOff>133350</xdr:rowOff>
    </xdr:to>
    <xdr:sp macro="" textlink="">
      <xdr:nvSpPr>
        <xdr:cNvPr id="16347" name="Line 31">
          <a:extLst>
            <a:ext uri="{FF2B5EF4-FFF2-40B4-BE49-F238E27FC236}">
              <a16:creationId xmlns:a16="http://schemas.microsoft.com/office/drawing/2014/main" id="{00000000-0008-0000-0100-0000DB3F0000}"/>
            </a:ext>
          </a:extLst>
        </xdr:cNvPr>
        <xdr:cNvSpPr>
          <a:spLocks noChangeShapeType="1"/>
        </xdr:cNvSpPr>
      </xdr:nvSpPr>
      <xdr:spPr bwMode="auto">
        <a:xfrm>
          <a:off x="1181100" y="51530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30</xdr:row>
      <xdr:rowOff>76200</xdr:rowOff>
    </xdr:from>
    <xdr:to>
      <xdr:col>4</xdr:col>
      <xdr:colOff>466725</xdr:colOff>
      <xdr:row>31</xdr:row>
      <xdr:rowOff>123825</xdr:rowOff>
    </xdr:to>
    <xdr:sp macro="" textlink="">
      <xdr:nvSpPr>
        <xdr:cNvPr id="16348" name="Line 32">
          <a:extLst>
            <a:ext uri="{FF2B5EF4-FFF2-40B4-BE49-F238E27FC236}">
              <a16:creationId xmlns:a16="http://schemas.microsoft.com/office/drawing/2014/main" id="{00000000-0008-0000-0100-0000DC3F0000}"/>
            </a:ext>
          </a:extLst>
        </xdr:cNvPr>
        <xdr:cNvSpPr>
          <a:spLocks noChangeShapeType="1"/>
        </xdr:cNvSpPr>
      </xdr:nvSpPr>
      <xdr:spPr bwMode="auto">
        <a:xfrm>
          <a:off x="2752725" y="51625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31</xdr:row>
      <xdr:rowOff>38100</xdr:rowOff>
    </xdr:from>
    <xdr:to>
      <xdr:col>4</xdr:col>
      <xdr:colOff>457200</xdr:colOff>
      <xdr:row>31</xdr:row>
      <xdr:rowOff>38100</xdr:rowOff>
    </xdr:to>
    <xdr:sp macro="" textlink="">
      <xdr:nvSpPr>
        <xdr:cNvPr id="16349" name="Line 33">
          <a:extLst>
            <a:ext uri="{FF2B5EF4-FFF2-40B4-BE49-F238E27FC236}">
              <a16:creationId xmlns:a16="http://schemas.microsoft.com/office/drawing/2014/main" id="{00000000-0008-0000-0100-0000DD3F0000}"/>
            </a:ext>
          </a:extLst>
        </xdr:cNvPr>
        <xdr:cNvSpPr>
          <a:spLocks noChangeShapeType="1"/>
        </xdr:cNvSpPr>
      </xdr:nvSpPr>
      <xdr:spPr bwMode="auto">
        <a:xfrm>
          <a:off x="2181225" y="52863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31</xdr:row>
      <xdr:rowOff>38100</xdr:rowOff>
    </xdr:from>
    <xdr:to>
      <xdr:col>2</xdr:col>
      <xdr:colOff>571500</xdr:colOff>
      <xdr:row>31</xdr:row>
      <xdr:rowOff>38100</xdr:rowOff>
    </xdr:to>
    <xdr:sp macro="" textlink="">
      <xdr:nvSpPr>
        <xdr:cNvPr id="16350" name="Line 34">
          <a:extLst>
            <a:ext uri="{FF2B5EF4-FFF2-40B4-BE49-F238E27FC236}">
              <a16:creationId xmlns:a16="http://schemas.microsoft.com/office/drawing/2014/main" id="{00000000-0008-0000-0100-0000DE3F0000}"/>
            </a:ext>
          </a:extLst>
        </xdr:cNvPr>
        <xdr:cNvSpPr>
          <a:spLocks noChangeShapeType="1"/>
        </xdr:cNvSpPr>
      </xdr:nvSpPr>
      <xdr:spPr bwMode="auto">
        <a:xfrm flipH="1">
          <a:off x="1190625" y="52863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30</xdr:row>
      <xdr:rowOff>104775</xdr:rowOff>
    </xdr:from>
    <xdr:to>
      <xdr:col>3</xdr:col>
      <xdr:colOff>331414</xdr:colOff>
      <xdr:row>32</xdr:row>
      <xdr:rowOff>28575</xdr:rowOff>
    </xdr:to>
    <xdr:sp macro="" textlink="">
      <xdr:nvSpPr>
        <xdr:cNvPr id="2083" name="Text Box 35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1914525" y="5191125"/>
          <a:ext cx="257175" cy="247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endParaRPr lang="en-US"/>
        </a:p>
      </xdr:txBody>
    </xdr:sp>
    <xdr:clientData/>
  </xdr:twoCellAnchor>
  <xdr:twoCellAnchor>
    <xdr:from>
      <xdr:col>2</xdr:col>
      <xdr:colOff>198120</xdr:colOff>
      <xdr:row>32</xdr:row>
      <xdr:rowOff>47625</xdr:rowOff>
    </xdr:from>
    <xdr:to>
      <xdr:col>2</xdr:col>
      <xdr:colOff>443825</xdr:colOff>
      <xdr:row>33</xdr:row>
      <xdr:rowOff>95250</xdr:rowOff>
    </xdr:to>
    <xdr:sp macro="" textlink="">
      <xdr:nvSpPr>
        <xdr:cNvPr id="2084" name="Text Box 36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1419225" y="5457825"/>
          <a:ext cx="247650" cy="209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endParaRPr lang="en-US"/>
        </a:p>
      </xdr:txBody>
    </xdr:sp>
    <xdr:clientData/>
  </xdr:twoCellAnchor>
  <xdr:twoCellAnchor editAs="oneCell">
    <xdr:from>
      <xdr:col>5</xdr:col>
      <xdr:colOff>704850</xdr:colOff>
      <xdr:row>33</xdr:row>
      <xdr:rowOff>66675</xdr:rowOff>
    </xdr:from>
    <xdr:to>
      <xdr:col>5</xdr:col>
      <xdr:colOff>781050</xdr:colOff>
      <xdr:row>34</xdr:row>
      <xdr:rowOff>95250</xdr:rowOff>
    </xdr:to>
    <xdr:sp macro="" textlink="">
      <xdr:nvSpPr>
        <xdr:cNvPr id="16353" name="Text Box 37">
          <a:extLst>
            <a:ext uri="{FF2B5EF4-FFF2-40B4-BE49-F238E27FC236}">
              <a16:creationId xmlns:a16="http://schemas.microsoft.com/office/drawing/2014/main" id="{00000000-0008-0000-0100-0000E13F0000}"/>
            </a:ext>
          </a:extLst>
        </xdr:cNvPr>
        <xdr:cNvSpPr txBox="1">
          <a:spLocks noChangeArrowheads="1"/>
        </xdr:cNvSpPr>
      </xdr:nvSpPr>
      <xdr:spPr bwMode="auto">
        <a:xfrm>
          <a:off x="4371975" y="563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596265</xdr:colOff>
      <xdr:row>28</xdr:row>
      <xdr:rowOff>19050</xdr:rowOff>
    </xdr:from>
    <xdr:to>
      <xdr:col>4</xdr:col>
      <xdr:colOff>842071</xdr:colOff>
      <xdr:row>29</xdr:row>
      <xdr:rowOff>76200</xdr:rowOff>
    </xdr:to>
    <xdr:sp macro="" textlink="">
      <xdr:nvSpPr>
        <xdr:cNvPr id="2086" name="Text Box 38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2886075" y="4781550"/>
          <a:ext cx="238125" cy="2190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3</xdr:col>
      <xdr:colOff>142875</xdr:colOff>
      <xdr:row>33</xdr:row>
      <xdr:rowOff>85725</xdr:rowOff>
    </xdr:from>
    <xdr:to>
      <xdr:col>3</xdr:col>
      <xdr:colOff>219075</xdr:colOff>
      <xdr:row>34</xdr:row>
      <xdr:rowOff>0</xdr:rowOff>
    </xdr:to>
    <xdr:sp macro="" textlink="">
      <xdr:nvSpPr>
        <xdr:cNvPr id="16355" name="Oval 39">
          <a:extLst>
            <a:ext uri="{FF2B5EF4-FFF2-40B4-BE49-F238E27FC236}">
              <a16:creationId xmlns:a16="http://schemas.microsoft.com/office/drawing/2014/main" id="{00000000-0008-0000-0100-0000E33F0000}"/>
            </a:ext>
          </a:extLst>
        </xdr:cNvPr>
        <xdr:cNvSpPr>
          <a:spLocks noChangeArrowheads="1"/>
        </xdr:cNvSpPr>
      </xdr:nvSpPr>
      <xdr:spPr bwMode="auto">
        <a:xfrm>
          <a:off x="1990725" y="5657850"/>
          <a:ext cx="7620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453390</xdr:colOff>
      <xdr:row>28</xdr:row>
      <xdr:rowOff>47625</xdr:rowOff>
    </xdr:from>
    <xdr:to>
      <xdr:col>4</xdr:col>
      <xdr:colOff>28737</xdr:colOff>
      <xdr:row>29</xdr:row>
      <xdr:rowOff>104775</xdr:rowOff>
    </xdr:to>
    <xdr:sp macro="" textlink="">
      <xdr:nvSpPr>
        <xdr:cNvPr id="2088" name="Text Box 40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1676400" y="4810125"/>
          <a:ext cx="6381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Area</a:t>
          </a:r>
          <a:endParaRPr lang="en-US"/>
        </a:p>
      </xdr:txBody>
    </xdr:sp>
    <xdr:clientData/>
  </xdr:twoCellAnchor>
  <xdr:twoCellAnchor>
    <xdr:from>
      <xdr:col>0</xdr:col>
      <xdr:colOff>333375</xdr:colOff>
      <xdr:row>27</xdr:row>
      <xdr:rowOff>95250</xdr:rowOff>
    </xdr:from>
    <xdr:to>
      <xdr:col>2</xdr:col>
      <xdr:colOff>390525</xdr:colOff>
      <xdr:row>27</xdr:row>
      <xdr:rowOff>95250</xdr:rowOff>
    </xdr:to>
    <xdr:sp macro="" textlink="">
      <xdr:nvSpPr>
        <xdr:cNvPr id="16357" name="Line 41">
          <a:extLst>
            <a:ext uri="{FF2B5EF4-FFF2-40B4-BE49-F238E27FC236}">
              <a16:creationId xmlns:a16="http://schemas.microsoft.com/office/drawing/2014/main" id="{00000000-0008-0000-0100-0000E53F0000}"/>
            </a:ext>
          </a:extLst>
        </xdr:cNvPr>
        <xdr:cNvSpPr>
          <a:spLocks noChangeShapeType="1"/>
        </xdr:cNvSpPr>
      </xdr:nvSpPr>
      <xdr:spPr bwMode="auto">
        <a:xfrm flipH="1">
          <a:off x="333375" y="469582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39</xdr:row>
      <xdr:rowOff>114300</xdr:rowOff>
    </xdr:from>
    <xdr:to>
      <xdr:col>2</xdr:col>
      <xdr:colOff>428625</xdr:colOff>
      <xdr:row>39</xdr:row>
      <xdr:rowOff>114300</xdr:rowOff>
    </xdr:to>
    <xdr:sp macro="" textlink="">
      <xdr:nvSpPr>
        <xdr:cNvPr id="16358" name="Line 42">
          <a:extLst>
            <a:ext uri="{FF2B5EF4-FFF2-40B4-BE49-F238E27FC236}">
              <a16:creationId xmlns:a16="http://schemas.microsoft.com/office/drawing/2014/main" id="{00000000-0008-0000-0100-0000E63F0000}"/>
            </a:ext>
          </a:extLst>
        </xdr:cNvPr>
        <xdr:cNvSpPr>
          <a:spLocks noChangeShapeType="1"/>
        </xdr:cNvSpPr>
      </xdr:nvSpPr>
      <xdr:spPr bwMode="auto">
        <a:xfrm flipH="1">
          <a:off x="381000" y="66865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27</xdr:row>
      <xdr:rowOff>104775</xdr:rowOff>
    </xdr:from>
    <xdr:to>
      <xdr:col>0</xdr:col>
      <xdr:colOff>561975</xdr:colOff>
      <xdr:row>32</xdr:row>
      <xdr:rowOff>104775</xdr:rowOff>
    </xdr:to>
    <xdr:sp macro="" textlink="">
      <xdr:nvSpPr>
        <xdr:cNvPr id="16359" name="Line 43">
          <a:extLst>
            <a:ext uri="{FF2B5EF4-FFF2-40B4-BE49-F238E27FC236}">
              <a16:creationId xmlns:a16="http://schemas.microsoft.com/office/drawing/2014/main" id="{00000000-0008-0000-0100-0000E73F0000}"/>
            </a:ext>
          </a:extLst>
        </xdr:cNvPr>
        <xdr:cNvSpPr>
          <a:spLocks noChangeShapeType="1"/>
        </xdr:cNvSpPr>
      </xdr:nvSpPr>
      <xdr:spPr bwMode="auto">
        <a:xfrm flipV="1">
          <a:off x="561975" y="4705350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34</xdr:row>
      <xdr:rowOff>152400</xdr:rowOff>
    </xdr:from>
    <xdr:to>
      <xdr:col>0</xdr:col>
      <xdr:colOff>571500</xdr:colOff>
      <xdr:row>39</xdr:row>
      <xdr:rowOff>95250</xdr:rowOff>
    </xdr:to>
    <xdr:sp macro="" textlink="">
      <xdr:nvSpPr>
        <xdr:cNvPr id="16360" name="Line 44">
          <a:extLst>
            <a:ext uri="{FF2B5EF4-FFF2-40B4-BE49-F238E27FC236}">
              <a16:creationId xmlns:a16="http://schemas.microsoft.com/office/drawing/2014/main" id="{00000000-0008-0000-0100-0000E83F0000}"/>
            </a:ext>
          </a:extLst>
        </xdr:cNvPr>
        <xdr:cNvSpPr>
          <a:spLocks noChangeShapeType="1"/>
        </xdr:cNvSpPr>
      </xdr:nvSpPr>
      <xdr:spPr bwMode="auto">
        <a:xfrm>
          <a:off x="571500" y="589597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447675</xdr:colOff>
      <xdr:row>33</xdr:row>
      <xdr:rowOff>66675</xdr:rowOff>
    </xdr:from>
    <xdr:to>
      <xdr:col>1</xdr:col>
      <xdr:colOff>76200</xdr:colOff>
      <xdr:row>34</xdr:row>
      <xdr:rowOff>66675</xdr:rowOff>
    </xdr:to>
    <xdr:sp macro="" textlink="">
      <xdr:nvSpPr>
        <xdr:cNvPr id="2093" name="Text Box 45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47675" y="5638800"/>
          <a:ext cx="238125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5</xdr:col>
      <xdr:colOff>9525</xdr:colOff>
      <xdr:row>10</xdr:row>
      <xdr:rowOff>152400</xdr:rowOff>
    </xdr:to>
    <xdr:sp macro="" textlink="">
      <xdr:nvSpPr>
        <xdr:cNvPr id="3265" name="Rectangle 1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>
          <a:spLocks noChangeArrowheads="1"/>
        </xdr:cNvSpPr>
      </xdr:nvSpPr>
      <xdr:spPr bwMode="auto">
        <a:xfrm>
          <a:off x="1228725" y="485775"/>
          <a:ext cx="1828800" cy="1333500"/>
        </a:xfrm>
        <a:prstGeom prst="rect">
          <a:avLst/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3</xdr:row>
      <xdr:rowOff>9525</xdr:rowOff>
    </xdr:from>
    <xdr:to>
      <xdr:col>5</xdr:col>
      <xdr:colOff>9525</xdr:colOff>
      <xdr:row>11</xdr:row>
      <xdr:rowOff>0</xdr:rowOff>
    </xdr:to>
    <xdr:sp macro="" textlink="">
      <xdr:nvSpPr>
        <xdr:cNvPr id="3266" name="Line 2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>
          <a:spLocks noChangeShapeType="1"/>
        </xdr:cNvSpPr>
      </xdr:nvSpPr>
      <xdr:spPr bwMode="auto">
        <a:xfrm flipH="1" flipV="1">
          <a:off x="1228725" y="495300"/>
          <a:ext cx="182880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76200</xdr:rowOff>
    </xdr:from>
    <xdr:to>
      <xdr:col>1</xdr:col>
      <xdr:colOff>304800</xdr:colOff>
      <xdr:row>10</xdr:row>
      <xdr:rowOff>76200</xdr:rowOff>
    </xdr:to>
    <xdr:sp macro="" textlink="">
      <xdr:nvSpPr>
        <xdr:cNvPr id="21965" name="Rectangle 5">
          <a:extLst>
            <a:ext uri="{FF2B5EF4-FFF2-40B4-BE49-F238E27FC236}">
              <a16:creationId xmlns:a16="http://schemas.microsoft.com/office/drawing/2014/main" id="{00000000-0008-0000-0400-0000CD550000}"/>
            </a:ext>
          </a:extLst>
        </xdr:cNvPr>
        <xdr:cNvSpPr>
          <a:spLocks noChangeArrowheads="1"/>
        </xdr:cNvSpPr>
      </xdr:nvSpPr>
      <xdr:spPr bwMode="auto">
        <a:xfrm>
          <a:off x="19050" y="752475"/>
          <a:ext cx="895350" cy="1200150"/>
        </a:xfrm>
        <a:prstGeom prst="rect">
          <a:avLst/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6</xdr:row>
      <xdr:rowOff>38100</xdr:rowOff>
    </xdr:from>
    <xdr:to>
      <xdr:col>6</xdr:col>
      <xdr:colOff>657225</xdr:colOff>
      <xdr:row>12</xdr:row>
      <xdr:rowOff>133350</xdr:rowOff>
    </xdr:to>
    <xdr:sp macro="" textlink="">
      <xdr:nvSpPr>
        <xdr:cNvPr id="21966" name="Rectangle 6">
          <a:extLst>
            <a:ext uri="{FF2B5EF4-FFF2-40B4-BE49-F238E27FC236}">
              <a16:creationId xmlns:a16="http://schemas.microsoft.com/office/drawing/2014/main" id="{00000000-0008-0000-0400-0000CE550000}"/>
            </a:ext>
          </a:extLst>
        </xdr:cNvPr>
        <xdr:cNvSpPr>
          <a:spLocks noChangeArrowheads="1"/>
        </xdr:cNvSpPr>
      </xdr:nvSpPr>
      <xdr:spPr bwMode="auto">
        <a:xfrm>
          <a:off x="5238750" y="1228725"/>
          <a:ext cx="533400" cy="1123950"/>
        </a:xfrm>
        <a:prstGeom prst="rect">
          <a:avLst/>
        </a:prstGeom>
        <a:solidFill>
          <a:srgbClr val="00CCFF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FF"/>
          </a:extrusionClr>
          <a:contourClr>
            <a:srgbClr val="00CCFF"/>
          </a:contourClr>
        </a:sp3d>
      </xdr:spPr>
    </xdr:sp>
    <xdr:clientData/>
  </xdr:twoCellAnchor>
  <xdr:twoCellAnchor>
    <xdr:from>
      <xdr:col>0</xdr:col>
      <xdr:colOff>9525</xdr:colOff>
      <xdr:row>12</xdr:row>
      <xdr:rowOff>104775</xdr:rowOff>
    </xdr:from>
    <xdr:to>
      <xdr:col>1</xdr:col>
      <xdr:colOff>390525</xdr:colOff>
      <xdr:row>18</xdr:row>
      <xdr:rowOff>38100</xdr:rowOff>
    </xdr:to>
    <xdr:sp macro="" textlink="">
      <xdr:nvSpPr>
        <xdr:cNvPr id="21967" name="Oval 7">
          <a:extLst>
            <a:ext uri="{FF2B5EF4-FFF2-40B4-BE49-F238E27FC236}">
              <a16:creationId xmlns:a16="http://schemas.microsoft.com/office/drawing/2014/main" id="{00000000-0008-0000-0400-0000CF550000}"/>
            </a:ext>
          </a:extLst>
        </xdr:cNvPr>
        <xdr:cNvSpPr>
          <a:spLocks noChangeArrowheads="1"/>
        </xdr:cNvSpPr>
      </xdr:nvSpPr>
      <xdr:spPr bwMode="auto">
        <a:xfrm>
          <a:off x="9525" y="2324100"/>
          <a:ext cx="990600" cy="1038225"/>
        </a:xfrm>
        <a:prstGeom prst="ellipse">
          <a:avLst/>
        </a:prstGeom>
        <a:solidFill>
          <a:srgbClr val="00CC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485775</xdr:colOff>
      <xdr:row>3</xdr:row>
      <xdr:rowOff>76200</xdr:rowOff>
    </xdr:from>
    <xdr:to>
      <xdr:col>1</xdr:col>
      <xdr:colOff>762000</xdr:colOff>
      <xdr:row>3</xdr:row>
      <xdr:rowOff>76200</xdr:rowOff>
    </xdr:to>
    <xdr:sp macro="" textlink="">
      <xdr:nvSpPr>
        <xdr:cNvPr id="21968" name="Line 9">
          <a:extLst>
            <a:ext uri="{FF2B5EF4-FFF2-40B4-BE49-F238E27FC236}">
              <a16:creationId xmlns:a16="http://schemas.microsoft.com/office/drawing/2014/main" id="{00000000-0008-0000-0400-0000D0550000}"/>
            </a:ext>
          </a:extLst>
        </xdr:cNvPr>
        <xdr:cNvSpPr>
          <a:spLocks noChangeShapeType="1"/>
        </xdr:cNvSpPr>
      </xdr:nvSpPr>
      <xdr:spPr bwMode="auto">
        <a:xfrm>
          <a:off x="1095375" y="7524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10</xdr:row>
      <xdr:rowOff>66675</xdr:rowOff>
    </xdr:from>
    <xdr:to>
      <xdr:col>1</xdr:col>
      <xdr:colOff>742950</xdr:colOff>
      <xdr:row>10</xdr:row>
      <xdr:rowOff>66675</xdr:rowOff>
    </xdr:to>
    <xdr:sp macro="" textlink="">
      <xdr:nvSpPr>
        <xdr:cNvPr id="21969" name="Line 10">
          <a:extLst>
            <a:ext uri="{FF2B5EF4-FFF2-40B4-BE49-F238E27FC236}">
              <a16:creationId xmlns:a16="http://schemas.microsoft.com/office/drawing/2014/main" id="{00000000-0008-0000-0400-0000D1550000}"/>
            </a:ext>
          </a:extLst>
        </xdr:cNvPr>
        <xdr:cNvSpPr>
          <a:spLocks noChangeShapeType="1"/>
        </xdr:cNvSpPr>
      </xdr:nvSpPr>
      <xdr:spPr bwMode="auto">
        <a:xfrm>
          <a:off x="1095375" y="19431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12</xdr:row>
      <xdr:rowOff>104775</xdr:rowOff>
    </xdr:from>
    <xdr:to>
      <xdr:col>1</xdr:col>
      <xdr:colOff>609600</xdr:colOff>
      <xdr:row>12</xdr:row>
      <xdr:rowOff>104775</xdr:rowOff>
    </xdr:to>
    <xdr:sp macro="" textlink="">
      <xdr:nvSpPr>
        <xdr:cNvPr id="21970" name="Line 11">
          <a:extLst>
            <a:ext uri="{FF2B5EF4-FFF2-40B4-BE49-F238E27FC236}">
              <a16:creationId xmlns:a16="http://schemas.microsoft.com/office/drawing/2014/main" id="{00000000-0008-0000-0400-0000D2550000}"/>
            </a:ext>
          </a:extLst>
        </xdr:cNvPr>
        <xdr:cNvSpPr>
          <a:spLocks noChangeShapeType="1"/>
        </xdr:cNvSpPr>
      </xdr:nvSpPr>
      <xdr:spPr bwMode="auto">
        <a:xfrm>
          <a:off x="676275" y="23241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47625</xdr:rowOff>
    </xdr:from>
    <xdr:to>
      <xdr:col>1</xdr:col>
      <xdr:colOff>619125</xdr:colOff>
      <xdr:row>18</xdr:row>
      <xdr:rowOff>47625</xdr:rowOff>
    </xdr:to>
    <xdr:sp macro="" textlink="">
      <xdr:nvSpPr>
        <xdr:cNvPr id="21971" name="Line 12">
          <a:extLst>
            <a:ext uri="{FF2B5EF4-FFF2-40B4-BE49-F238E27FC236}">
              <a16:creationId xmlns:a16="http://schemas.microsoft.com/office/drawing/2014/main" id="{00000000-0008-0000-0400-0000D3550000}"/>
            </a:ext>
          </a:extLst>
        </xdr:cNvPr>
        <xdr:cNvSpPr>
          <a:spLocks noChangeShapeType="1"/>
        </xdr:cNvSpPr>
      </xdr:nvSpPr>
      <xdr:spPr bwMode="auto">
        <a:xfrm>
          <a:off x="619125" y="33718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16</xdr:row>
      <xdr:rowOff>47625</xdr:rowOff>
    </xdr:from>
    <xdr:to>
      <xdr:col>1</xdr:col>
      <xdr:colOff>476250</xdr:colOff>
      <xdr:row>18</xdr:row>
      <xdr:rowOff>47625</xdr:rowOff>
    </xdr:to>
    <xdr:sp macro="" textlink="">
      <xdr:nvSpPr>
        <xdr:cNvPr id="21972" name="Line 14">
          <a:extLst>
            <a:ext uri="{FF2B5EF4-FFF2-40B4-BE49-F238E27FC236}">
              <a16:creationId xmlns:a16="http://schemas.microsoft.com/office/drawing/2014/main" id="{00000000-0008-0000-0400-0000D4550000}"/>
            </a:ext>
          </a:extLst>
        </xdr:cNvPr>
        <xdr:cNvSpPr>
          <a:spLocks noChangeShapeType="1"/>
        </xdr:cNvSpPr>
      </xdr:nvSpPr>
      <xdr:spPr bwMode="auto">
        <a:xfrm>
          <a:off x="1085850" y="300037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12</xdr:row>
      <xdr:rowOff>104775</xdr:rowOff>
    </xdr:from>
    <xdr:to>
      <xdr:col>1</xdr:col>
      <xdr:colOff>485775</xdr:colOff>
      <xdr:row>15</xdr:row>
      <xdr:rowOff>0</xdr:rowOff>
    </xdr:to>
    <xdr:sp macro="" textlink="">
      <xdr:nvSpPr>
        <xdr:cNvPr id="21973" name="Line 15">
          <a:extLst>
            <a:ext uri="{FF2B5EF4-FFF2-40B4-BE49-F238E27FC236}">
              <a16:creationId xmlns:a16="http://schemas.microsoft.com/office/drawing/2014/main" id="{00000000-0008-0000-0400-0000D5550000}"/>
            </a:ext>
          </a:extLst>
        </xdr:cNvPr>
        <xdr:cNvSpPr>
          <a:spLocks noChangeShapeType="1"/>
        </xdr:cNvSpPr>
      </xdr:nvSpPr>
      <xdr:spPr bwMode="auto">
        <a:xfrm flipV="1">
          <a:off x="1095375" y="232410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7</xdr:row>
      <xdr:rowOff>28575</xdr:rowOff>
    </xdr:from>
    <xdr:to>
      <xdr:col>1</xdr:col>
      <xdr:colOff>600075</xdr:colOff>
      <xdr:row>10</xdr:row>
      <xdr:rowOff>66675</xdr:rowOff>
    </xdr:to>
    <xdr:sp macro="" textlink="">
      <xdr:nvSpPr>
        <xdr:cNvPr id="21974" name="Line 17">
          <a:extLst>
            <a:ext uri="{FF2B5EF4-FFF2-40B4-BE49-F238E27FC236}">
              <a16:creationId xmlns:a16="http://schemas.microsoft.com/office/drawing/2014/main" id="{00000000-0008-0000-0400-0000D6550000}"/>
            </a:ext>
          </a:extLst>
        </xdr:cNvPr>
        <xdr:cNvSpPr>
          <a:spLocks noChangeShapeType="1"/>
        </xdr:cNvSpPr>
      </xdr:nvSpPr>
      <xdr:spPr bwMode="auto">
        <a:xfrm flipH="1">
          <a:off x="1209675" y="139065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3</xdr:row>
      <xdr:rowOff>76200</xdr:rowOff>
    </xdr:from>
    <xdr:to>
      <xdr:col>1</xdr:col>
      <xdr:colOff>600075</xdr:colOff>
      <xdr:row>6</xdr:row>
      <xdr:rowOff>0</xdr:rowOff>
    </xdr:to>
    <xdr:sp macro="" textlink="">
      <xdr:nvSpPr>
        <xdr:cNvPr id="21975" name="Line 18">
          <a:extLst>
            <a:ext uri="{FF2B5EF4-FFF2-40B4-BE49-F238E27FC236}">
              <a16:creationId xmlns:a16="http://schemas.microsoft.com/office/drawing/2014/main" id="{00000000-0008-0000-0400-0000D7550000}"/>
            </a:ext>
          </a:extLst>
        </xdr:cNvPr>
        <xdr:cNvSpPr>
          <a:spLocks noChangeShapeType="1"/>
        </xdr:cNvSpPr>
      </xdr:nvSpPr>
      <xdr:spPr bwMode="auto">
        <a:xfrm flipV="1">
          <a:off x="1209675" y="7524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104775</xdr:colOff>
      <xdr:row>5</xdr:row>
      <xdr:rowOff>38100</xdr:rowOff>
    </xdr:to>
    <xdr:sp macro="" textlink="">
      <xdr:nvSpPr>
        <xdr:cNvPr id="21976" name="Line 20">
          <a:extLst>
            <a:ext uri="{FF2B5EF4-FFF2-40B4-BE49-F238E27FC236}">
              <a16:creationId xmlns:a16="http://schemas.microsoft.com/office/drawing/2014/main" id="{00000000-0008-0000-0400-0000D8550000}"/>
            </a:ext>
          </a:extLst>
        </xdr:cNvPr>
        <xdr:cNvSpPr>
          <a:spLocks noChangeShapeType="1"/>
        </xdr:cNvSpPr>
      </xdr:nvSpPr>
      <xdr:spPr bwMode="auto">
        <a:xfrm>
          <a:off x="5962650" y="1057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838200</xdr:colOff>
      <xdr:row>11</xdr:row>
      <xdr:rowOff>142875</xdr:rowOff>
    </xdr:from>
    <xdr:to>
      <xdr:col>7</xdr:col>
      <xdr:colOff>76200</xdr:colOff>
      <xdr:row>11</xdr:row>
      <xdr:rowOff>142875</xdr:rowOff>
    </xdr:to>
    <xdr:sp macro="" textlink="">
      <xdr:nvSpPr>
        <xdr:cNvPr id="21977" name="Line 21">
          <a:extLst>
            <a:ext uri="{FF2B5EF4-FFF2-40B4-BE49-F238E27FC236}">
              <a16:creationId xmlns:a16="http://schemas.microsoft.com/office/drawing/2014/main" id="{00000000-0008-0000-0400-0000D9550000}"/>
            </a:ext>
          </a:extLst>
        </xdr:cNvPr>
        <xdr:cNvSpPr>
          <a:spLocks noChangeShapeType="1"/>
        </xdr:cNvSpPr>
      </xdr:nvSpPr>
      <xdr:spPr bwMode="auto">
        <a:xfrm>
          <a:off x="5953125" y="21907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12</xdr:row>
      <xdr:rowOff>133350</xdr:rowOff>
    </xdr:from>
    <xdr:to>
      <xdr:col>6</xdr:col>
      <xdr:colOff>771525</xdr:colOff>
      <xdr:row>12</xdr:row>
      <xdr:rowOff>133350</xdr:rowOff>
    </xdr:to>
    <xdr:sp macro="" textlink="">
      <xdr:nvSpPr>
        <xdr:cNvPr id="21978" name="Line 22">
          <a:extLst>
            <a:ext uri="{FF2B5EF4-FFF2-40B4-BE49-F238E27FC236}">
              <a16:creationId xmlns:a16="http://schemas.microsoft.com/office/drawing/2014/main" id="{00000000-0008-0000-0400-0000DA550000}"/>
            </a:ext>
          </a:extLst>
        </xdr:cNvPr>
        <xdr:cNvSpPr>
          <a:spLocks noChangeShapeType="1"/>
        </xdr:cNvSpPr>
      </xdr:nvSpPr>
      <xdr:spPr bwMode="auto">
        <a:xfrm>
          <a:off x="5800725" y="23526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600075</xdr:colOff>
      <xdr:row>12</xdr:row>
      <xdr:rowOff>152400</xdr:rowOff>
    </xdr:from>
    <xdr:to>
      <xdr:col>6</xdr:col>
      <xdr:colOff>647700</xdr:colOff>
      <xdr:row>13</xdr:row>
      <xdr:rowOff>38100</xdr:rowOff>
    </xdr:to>
    <xdr:sp macro="" textlink="">
      <xdr:nvSpPr>
        <xdr:cNvPr id="21979" name="Line 23">
          <a:extLst>
            <a:ext uri="{FF2B5EF4-FFF2-40B4-BE49-F238E27FC236}">
              <a16:creationId xmlns:a16="http://schemas.microsoft.com/office/drawing/2014/main" id="{00000000-0008-0000-0400-0000DB550000}"/>
            </a:ext>
          </a:extLst>
        </xdr:cNvPr>
        <xdr:cNvSpPr>
          <a:spLocks noChangeShapeType="1"/>
        </xdr:cNvSpPr>
      </xdr:nvSpPr>
      <xdr:spPr bwMode="auto">
        <a:xfrm flipH="1">
          <a:off x="5715000" y="2371725"/>
          <a:ext cx="476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13</xdr:row>
      <xdr:rowOff>0</xdr:rowOff>
    </xdr:from>
    <xdr:to>
      <xdr:col>6</xdr:col>
      <xdr:colOff>104775</xdr:colOff>
      <xdr:row>13</xdr:row>
      <xdr:rowOff>57150</xdr:rowOff>
    </xdr:to>
    <xdr:sp macro="" textlink="">
      <xdr:nvSpPr>
        <xdr:cNvPr id="21980" name="Line 24">
          <a:extLst>
            <a:ext uri="{FF2B5EF4-FFF2-40B4-BE49-F238E27FC236}">
              <a16:creationId xmlns:a16="http://schemas.microsoft.com/office/drawing/2014/main" id="{00000000-0008-0000-0400-0000DC550000}"/>
            </a:ext>
          </a:extLst>
        </xdr:cNvPr>
        <xdr:cNvSpPr>
          <a:spLocks noChangeShapeType="1"/>
        </xdr:cNvSpPr>
      </xdr:nvSpPr>
      <xdr:spPr bwMode="auto">
        <a:xfrm flipH="1">
          <a:off x="5162550" y="2381250"/>
          <a:ext cx="571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38</xdr:row>
      <xdr:rowOff>66675</xdr:rowOff>
    </xdr:from>
    <xdr:to>
      <xdr:col>9</xdr:col>
      <xdr:colOff>619125</xdr:colOff>
      <xdr:row>51</xdr:row>
      <xdr:rowOff>142875</xdr:rowOff>
    </xdr:to>
    <xdr:sp macro="" textlink="">
      <xdr:nvSpPr>
        <xdr:cNvPr id="21981" name="AutoShape 129">
          <a:extLst>
            <a:ext uri="{FF2B5EF4-FFF2-40B4-BE49-F238E27FC236}">
              <a16:creationId xmlns:a16="http://schemas.microsoft.com/office/drawing/2014/main" id="{00000000-0008-0000-0400-0000DD550000}"/>
            </a:ext>
          </a:extLst>
        </xdr:cNvPr>
        <xdr:cNvSpPr>
          <a:spLocks noChangeArrowheads="1"/>
        </xdr:cNvSpPr>
      </xdr:nvSpPr>
      <xdr:spPr bwMode="auto">
        <a:xfrm rot="-5400000">
          <a:off x="4938712" y="6405563"/>
          <a:ext cx="2219325" cy="3505200"/>
        </a:xfrm>
        <a:prstGeom prst="can">
          <a:avLst>
            <a:gd name="adj" fmla="val 39485"/>
          </a:avLst>
        </a:prstGeom>
        <a:solidFill>
          <a:srgbClr val="33CC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38</xdr:row>
      <xdr:rowOff>66675</xdr:rowOff>
    </xdr:from>
    <xdr:to>
      <xdr:col>10</xdr:col>
      <xdr:colOff>504825</xdr:colOff>
      <xdr:row>38</xdr:row>
      <xdr:rowOff>66675</xdr:rowOff>
    </xdr:to>
    <xdr:sp macro="" textlink="">
      <xdr:nvSpPr>
        <xdr:cNvPr id="21982" name="Line 130">
          <a:extLst>
            <a:ext uri="{FF2B5EF4-FFF2-40B4-BE49-F238E27FC236}">
              <a16:creationId xmlns:a16="http://schemas.microsoft.com/office/drawing/2014/main" id="{00000000-0008-0000-0400-0000DE550000}"/>
            </a:ext>
          </a:extLst>
        </xdr:cNvPr>
        <xdr:cNvSpPr>
          <a:spLocks noChangeShapeType="1"/>
        </xdr:cNvSpPr>
      </xdr:nvSpPr>
      <xdr:spPr bwMode="auto">
        <a:xfrm>
          <a:off x="7591425" y="70485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51</xdr:row>
      <xdr:rowOff>123825</xdr:rowOff>
    </xdr:from>
    <xdr:to>
      <xdr:col>10</xdr:col>
      <xdr:colOff>485775</xdr:colOff>
      <xdr:row>51</xdr:row>
      <xdr:rowOff>123825</xdr:rowOff>
    </xdr:to>
    <xdr:sp macro="" textlink="">
      <xdr:nvSpPr>
        <xdr:cNvPr id="21983" name="Line 131">
          <a:extLst>
            <a:ext uri="{FF2B5EF4-FFF2-40B4-BE49-F238E27FC236}">
              <a16:creationId xmlns:a16="http://schemas.microsoft.com/office/drawing/2014/main" id="{00000000-0008-0000-0400-0000DF550000}"/>
            </a:ext>
          </a:extLst>
        </xdr:cNvPr>
        <xdr:cNvSpPr>
          <a:spLocks noChangeShapeType="1"/>
        </xdr:cNvSpPr>
      </xdr:nvSpPr>
      <xdr:spPr bwMode="auto">
        <a:xfrm>
          <a:off x="7600950" y="92487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219075</xdr:colOff>
      <xdr:row>46</xdr:row>
      <xdr:rowOff>104775</xdr:rowOff>
    </xdr:from>
    <xdr:to>
      <xdr:col>10</xdr:col>
      <xdr:colOff>219075</xdr:colOff>
      <xdr:row>51</xdr:row>
      <xdr:rowOff>123825</xdr:rowOff>
    </xdr:to>
    <xdr:sp macro="" textlink="">
      <xdr:nvSpPr>
        <xdr:cNvPr id="21984" name="Line 132">
          <a:extLst>
            <a:ext uri="{FF2B5EF4-FFF2-40B4-BE49-F238E27FC236}">
              <a16:creationId xmlns:a16="http://schemas.microsoft.com/office/drawing/2014/main" id="{00000000-0008-0000-0400-0000E0550000}"/>
            </a:ext>
          </a:extLst>
        </xdr:cNvPr>
        <xdr:cNvSpPr>
          <a:spLocks noChangeShapeType="1"/>
        </xdr:cNvSpPr>
      </xdr:nvSpPr>
      <xdr:spPr bwMode="auto">
        <a:xfrm>
          <a:off x="8210550" y="84201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38</xdr:row>
      <xdr:rowOff>76200</xdr:rowOff>
    </xdr:from>
    <xdr:to>
      <xdr:col>10</xdr:col>
      <xdr:colOff>200025</xdr:colOff>
      <xdr:row>43</xdr:row>
      <xdr:rowOff>142875</xdr:rowOff>
    </xdr:to>
    <xdr:sp macro="" textlink="">
      <xdr:nvSpPr>
        <xdr:cNvPr id="21985" name="Line 133">
          <a:extLst>
            <a:ext uri="{FF2B5EF4-FFF2-40B4-BE49-F238E27FC236}">
              <a16:creationId xmlns:a16="http://schemas.microsoft.com/office/drawing/2014/main" id="{00000000-0008-0000-0400-0000E1550000}"/>
            </a:ext>
          </a:extLst>
        </xdr:cNvPr>
        <xdr:cNvSpPr>
          <a:spLocks noChangeShapeType="1"/>
        </xdr:cNvSpPr>
      </xdr:nvSpPr>
      <xdr:spPr bwMode="auto">
        <a:xfrm flipV="1">
          <a:off x="8191500" y="70580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838200</xdr:colOff>
      <xdr:row>32</xdr:row>
      <xdr:rowOff>66675</xdr:rowOff>
    </xdr:from>
    <xdr:to>
      <xdr:col>4</xdr:col>
      <xdr:colOff>838200</xdr:colOff>
      <xdr:row>37</xdr:row>
      <xdr:rowOff>152400</xdr:rowOff>
    </xdr:to>
    <xdr:sp macro="" textlink="">
      <xdr:nvSpPr>
        <xdr:cNvPr id="21986" name="Line 134">
          <a:extLst>
            <a:ext uri="{FF2B5EF4-FFF2-40B4-BE49-F238E27FC236}">
              <a16:creationId xmlns:a16="http://schemas.microsoft.com/office/drawing/2014/main" id="{00000000-0008-0000-0400-0000E2550000}"/>
            </a:ext>
          </a:extLst>
        </xdr:cNvPr>
        <xdr:cNvSpPr>
          <a:spLocks noChangeShapeType="1"/>
        </xdr:cNvSpPr>
      </xdr:nvSpPr>
      <xdr:spPr bwMode="auto">
        <a:xfrm flipV="1">
          <a:off x="4752975" y="59531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219075</xdr:colOff>
      <xdr:row>32</xdr:row>
      <xdr:rowOff>9525</xdr:rowOff>
    </xdr:from>
    <xdr:to>
      <xdr:col>9</xdr:col>
      <xdr:colOff>219075</xdr:colOff>
      <xdr:row>37</xdr:row>
      <xdr:rowOff>142875</xdr:rowOff>
    </xdr:to>
    <xdr:sp macro="" textlink="">
      <xdr:nvSpPr>
        <xdr:cNvPr id="21987" name="Line 135">
          <a:extLst>
            <a:ext uri="{FF2B5EF4-FFF2-40B4-BE49-F238E27FC236}">
              <a16:creationId xmlns:a16="http://schemas.microsoft.com/office/drawing/2014/main" id="{00000000-0008-0000-0400-0000E3550000}"/>
            </a:ext>
          </a:extLst>
        </xdr:cNvPr>
        <xdr:cNvSpPr>
          <a:spLocks noChangeShapeType="1"/>
        </xdr:cNvSpPr>
      </xdr:nvSpPr>
      <xdr:spPr bwMode="auto">
        <a:xfrm flipV="1">
          <a:off x="7400925" y="5895975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838200</xdr:colOff>
      <xdr:row>33</xdr:row>
      <xdr:rowOff>152400</xdr:rowOff>
    </xdr:from>
    <xdr:to>
      <xdr:col>6</xdr:col>
      <xdr:colOff>800100</xdr:colOff>
      <xdr:row>33</xdr:row>
      <xdr:rowOff>152400</xdr:rowOff>
    </xdr:to>
    <xdr:sp macro="" textlink="">
      <xdr:nvSpPr>
        <xdr:cNvPr id="21988" name="Line 136">
          <a:extLst>
            <a:ext uri="{FF2B5EF4-FFF2-40B4-BE49-F238E27FC236}">
              <a16:creationId xmlns:a16="http://schemas.microsoft.com/office/drawing/2014/main" id="{00000000-0008-0000-0400-0000E4550000}"/>
            </a:ext>
          </a:extLst>
        </xdr:cNvPr>
        <xdr:cNvSpPr>
          <a:spLocks noChangeShapeType="1"/>
        </xdr:cNvSpPr>
      </xdr:nvSpPr>
      <xdr:spPr bwMode="auto">
        <a:xfrm flipH="1">
          <a:off x="4752975" y="62388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34</xdr:row>
      <xdr:rowOff>0</xdr:rowOff>
    </xdr:from>
    <xdr:to>
      <xdr:col>9</xdr:col>
      <xdr:colOff>200025</xdr:colOff>
      <xdr:row>34</xdr:row>
      <xdr:rowOff>0</xdr:rowOff>
    </xdr:to>
    <xdr:sp macro="" textlink="">
      <xdr:nvSpPr>
        <xdr:cNvPr id="21989" name="Line 137">
          <a:extLst>
            <a:ext uri="{FF2B5EF4-FFF2-40B4-BE49-F238E27FC236}">
              <a16:creationId xmlns:a16="http://schemas.microsoft.com/office/drawing/2014/main" id="{00000000-0008-0000-0400-0000E5550000}"/>
            </a:ext>
          </a:extLst>
        </xdr:cNvPr>
        <xdr:cNvSpPr>
          <a:spLocks noChangeShapeType="1"/>
        </xdr:cNvSpPr>
      </xdr:nvSpPr>
      <xdr:spPr bwMode="auto">
        <a:xfrm>
          <a:off x="6410325" y="62484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49</xdr:row>
      <xdr:rowOff>152400</xdr:rowOff>
    </xdr:from>
    <xdr:to>
      <xdr:col>4</xdr:col>
      <xdr:colOff>885825</xdr:colOff>
      <xdr:row>50</xdr:row>
      <xdr:rowOff>47625</xdr:rowOff>
    </xdr:to>
    <xdr:sp macro="" textlink="">
      <xdr:nvSpPr>
        <xdr:cNvPr id="21990" name="Line 138">
          <a:extLst>
            <a:ext uri="{FF2B5EF4-FFF2-40B4-BE49-F238E27FC236}">
              <a16:creationId xmlns:a16="http://schemas.microsoft.com/office/drawing/2014/main" id="{00000000-0008-0000-0400-0000E6550000}"/>
            </a:ext>
          </a:extLst>
        </xdr:cNvPr>
        <xdr:cNvSpPr>
          <a:spLocks noChangeShapeType="1"/>
        </xdr:cNvSpPr>
      </xdr:nvSpPr>
      <xdr:spPr bwMode="auto">
        <a:xfrm>
          <a:off x="4562475" y="8953500"/>
          <a:ext cx="23812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48</xdr:row>
      <xdr:rowOff>85725</xdr:rowOff>
    </xdr:from>
    <xdr:to>
      <xdr:col>4</xdr:col>
      <xdr:colOff>876300</xdr:colOff>
      <xdr:row>48</xdr:row>
      <xdr:rowOff>142875</xdr:rowOff>
    </xdr:to>
    <xdr:sp macro="" textlink="">
      <xdr:nvSpPr>
        <xdr:cNvPr id="21991" name="Line 139">
          <a:extLst>
            <a:ext uri="{FF2B5EF4-FFF2-40B4-BE49-F238E27FC236}">
              <a16:creationId xmlns:a16="http://schemas.microsoft.com/office/drawing/2014/main" id="{00000000-0008-0000-0400-0000E7550000}"/>
            </a:ext>
          </a:extLst>
        </xdr:cNvPr>
        <xdr:cNvSpPr>
          <a:spLocks noChangeShapeType="1"/>
        </xdr:cNvSpPr>
      </xdr:nvSpPr>
      <xdr:spPr bwMode="auto">
        <a:xfrm>
          <a:off x="4552950" y="8724900"/>
          <a:ext cx="23812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47</xdr:row>
      <xdr:rowOff>28575</xdr:rowOff>
    </xdr:from>
    <xdr:to>
      <xdr:col>4</xdr:col>
      <xdr:colOff>885825</xdr:colOff>
      <xdr:row>47</xdr:row>
      <xdr:rowOff>85725</xdr:rowOff>
    </xdr:to>
    <xdr:sp macro="" textlink="">
      <xdr:nvSpPr>
        <xdr:cNvPr id="21992" name="Line 140">
          <a:extLst>
            <a:ext uri="{FF2B5EF4-FFF2-40B4-BE49-F238E27FC236}">
              <a16:creationId xmlns:a16="http://schemas.microsoft.com/office/drawing/2014/main" id="{00000000-0008-0000-0400-0000E8550000}"/>
            </a:ext>
          </a:extLst>
        </xdr:cNvPr>
        <xdr:cNvSpPr>
          <a:spLocks noChangeShapeType="1"/>
        </xdr:cNvSpPr>
      </xdr:nvSpPr>
      <xdr:spPr bwMode="auto">
        <a:xfrm>
          <a:off x="4562475" y="8505825"/>
          <a:ext cx="23812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45</xdr:row>
      <xdr:rowOff>104775</xdr:rowOff>
    </xdr:from>
    <xdr:to>
      <xdr:col>4</xdr:col>
      <xdr:colOff>895350</xdr:colOff>
      <xdr:row>46</xdr:row>
      <xdr:rowOff>0</xdr:rowOff>
    </xdr:to>
    <xdr:sp macro="" textlink="">
      <xdr:nvSpPr>
        <xdr:cNvPr id="21993" name="Line 141">
          <a:extLst>
            <a:ext uri="{FF2B5EF4-FFF2-40B4-BE49-F238E27FC236}">
              <a16:creationId xmlns:a16="http://schemas.microsoft.com/office/drawing/2014/main" id="{00000000-0008-0000-0400-0000E9550000}"/>
            </a:ext>
          </a:extLst>
        </xdr:cNvPr>
        <xdr:cNvSpPr>
          <a:spLocks noChangeShapeType="1"/>
        </xdr:cNvSpPr>
      </xdr:nvSpPr>
      <xdr:spPr bwMode="auto">
        <a:xfrm>
          <a:off x="4572000" y="8258175"/>
          <a:ext cx="23812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44</xdr:row>
      <xdr:rowOff>47625</xdr:rowOff>
    </xdr:from>
    <xdr:to>
      <xdr:col>11</xdr:col>
      <xdr:colOff>142949</xdr:colOff>
      <xdr:row>45</xdr:row>
      <xdr:rowOff>141289</xdr:rowOff>
    </xdr:to>
    <xdr:sp macro="" textlink="">
      <xdr:nvSpPr>
        <xdr:cNvPr id="4239" name="Text Box 143">
          <a:extLst>
            <a:ext uri="{FF2B5EF4-FFF2-40B4-BE49-F238E27FC236}">
              <a16:creationId xmlns:a16="http://schemas.microsoft.com/office/drawing/2014/main" id="{00000000-0008-0000-0400-00008F100000}"/>
            </a:ext>
          </a:extLst>
        </xdr:cNvPr>
        <xdr:cNvSpPr txBox="1">
          <a:spLocks noChangeArrowheads="1"/>
        </xdr:cNvSpPr>
      </xdr:nvSpPr>
      <xdr:spPr bwMode="auto">
        <a:xfrm>
          <a:off x="8096250" y="8039100"/>
          <a:ext cx="828675" cy="2571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Diameter</a:t>
          </a:r>
          <a:endParaRPr lang="en-US"/>
        </a:p>
      </xdr:txBody>
    </xdr:sp>
    <xdr:clientData/>
  </xdr:twoCellAnchor>
  <xdr:twoCellAnchor>
    <xdr:from>
      <xdr:col>6</xdr:col>
      <xdr:colOff>539115</xdr:colOff>
      <xdr:row>33</xdr:row>
      <xdr:rowOff>9525</xdr:rowOff>
    </xdr:from>
    <xdr:to>
      <xdr:col>7</xdr:col>
      <xdr:colOff>333439</xdr:colOff>
      <xdr:row>34</xdr:row>
      <xdr:rowOff>140954</xdr:rowOff>
    </xdr:to>
    <xdr:sp macro="" textlink="">
      <xdr:nvSpPr>
        <xdr:cNvPr id="4240" name="Text Box 144">
          <a:extLst>
            <a:ext uri="{FF2B5EF4-FFF2-40B4-BE49-F238E27FC236}">
              <a16:creationId xmlns:a16="http://schemas.microsoft.com/office/drawing/2014/main" id="{00000000-0008-0000-0400-000090100000}"/>
            </a:ext>
          </a:extLst>
        </xdr:cNvPr>
        <xdr:cNvSpPr txBox="1">
          <a:spLocks noChangeArrowheads="1"/>
        </xdr:cNvSpPr>
      </xdr:nvSpPr>
      <xdr:spPr bwMode="auto">
        <a:xfrm>
          <a:off x="5648325" y="6096000"/>
          <a:ext cx="647700" cy="285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Length</a:t>
          </a:r>
          <a:endParaRPr lang="en-US"/>
        </a:p>
      </xdr:txBody>
    </xdr:sp>
    <xdr:clientData/>
  </xdr:twoCellAnchor>
  <xdr:twoCellAnchor>
    <xdr:from>
      <xdr:col>3</xdr:col>
      <xdr:colOff>461010</xdr:colOff>
      <xdr:row>45</xdr:row>
      <xdr:rowOff>38100</xdr:rowOff>
    </xdr:from>
    <xdr:to>
      <xdr:col>3</xdr:col>
      <xdr:colOff>1144896</xdr:colOff>
      <xdr:row>46</xdr:row>
      <xdr:rowOff>142875</xdr:rowOff>
    </xdr:to>
    <xdr:sp macro="" textlink="">
      <xdr:nvSpPr>
        <xdr:cNvPr id="4241" name="Text Box 145">
          <a:extLst>
            <a:ext uri="{FF2B5EF4-FFF2-40B4-BE49-F238E27FC236}">
              <a16:creationId xmlns:a16="http://schemas.microsoft.com/office/drawing/2014/main" id="{00000000-0008-0000-0400-000091100000}"/>
            </a:ext>
          </a:extLst>
        </xdr:cNvPr>
        <xdr:cNvSpPr txBox="1">
          <a:spLocks noChangeArrowheads="1"/>
        </xdr:cNvSpPr>
      </xdr:nvSpPr>
      <xdr:spPr bwMode="auto">
        <a:xfrm>
          <a:off x="2905125" y="8191500"/>
          <a:ext cx="695325" cy="2667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Level</a:t>
          </a:r>
          <a:endParaRPr lang="en-US"/>
        </a:p>
      </xdr:txBody>
    </xdr:sp>
    <xdr:clientData/>
  </xdr:twoCellAnchor>
  <xdr:twoCellAnchor>
    <xdr:from>
      <xdr:col>3</xdr:col>
      <xdr:colOff>1028700</xdr:colOff>
      <xdr:row>45</xdr:row>
      <xdr:rowOff>123825</xdr:rowOff>
    </xdr:from>
    <xdr:to>
      <xdr:col>4</xdr:col>
      <xdr:colOff>600075</xdr:colOff>
      <xdr:row>46</xdr:row>
      <xdr:rowOff>0</xdr:rowOff>
    </xdr:to>
    <xdr:sp macro="" textlink="">
      <xdr:nvSpPr>
        <xdr:cNvPr id="21997" name="Line 146">
          <a:extLst>
            <a:ext uri="{FF2B5EF4-FFF2-40B4-BE49-F238E27FC236}">
              <a16:creationId xmlns:a16="http://schemas.microsoft.com/office/drawing/2014/main" id="{00000000-0008-0000-0400-0000ED550000}"/>
            </a:ext>
          </a:extLst>
        </xdr:cNvPr>
        <xdr:cNvSpPr>
          <a:spLocks noChangeShapeType="1"/>
        </xdr:cNvSpPr>
      </xdr:nvSpPr>
      <xdr:spPr bwMode="auto">
        <a:xfrm flipV="1">
          <a:off x="3486150" y="8277225"/>
          <a:ext cx="1028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28</xdr:row>
      <xdr:rowOff>76200</xdr:rowOff>
    </xdr:from>
    <xdr:to>
      <xdr:col>11</xdr:col>
      <xdr:colOff>561975</xdr:colOff>
      <xdr:row>35</xdr:row>
      <xdr:rowOff>114300</xdr:rowOff>
    </xdr:to>
    <xdr:sp macro="" textlink="">
      <xdr:nvSpPr>
        <xdr:cNvPr id="23709" name="AutoShape 37">
          <a:extLst>
            <a:ext uri="{FF2B5EF4-FFF2-40B4-BE49-F238E27FC236}">
              <a16:creationId xmlns:a16="http://schemas.microsoft.com/office/drawing/2014/main" id="{00000000-0008-0000-0500-00009D5C0000}"/>
            </a:ext>
          </a:extLst>
        </xdr:cNvPr>
        <xdr:cNvSpPr>
          <a:spLocks noChangeArrowheads="1"/>
        </xdr:cNvSpPr>
      </xdr:nvSpPr>
      <xdr:spPr bwMode="auto">
        <a:xfrm>
          <a:off x="6096000" y="4686300"/>
          <a:ext cx="1362075" cy="1190625"/>
        </a:xfrm>
        <a:prstGeom prst="hexagon">
          <a:avLst>
            <a:gd name="adj" fmla="val 28600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571500</xdr:colOff>
      <xdr:row>6</xdr:row>
      <xdr:rowOff>9525</xdr:rowOff>
    </xdr:from>
    <xdr:to>
      <xdr:col>10</xdr:col>
      <xdr:colOff>19050</xdr:colOff>
      <xdr:row>13</xdr:row>
      <xdr:rowOff>152400</xdr:rowOff>
    </xdr:to>
    <xdr:sp macro="" textlink="">
      <xdr:nvSpPr>
        <xdr:cNvPr id="23710" name="AutoShape 1">
          <a:extLst>
            <a:ext uri="{FF2B5EF4-FFF2-40B4-BE49-F238E27FC236}">
              <a16:creationId xmlns:a16="http://schemas.microsoft.com/office/drawing/2014/main" id="{00000000-0008-0000-0500-00009E5C0000}"/>
            </a:ext>
          </a:extLst>
        </xdr:cNvPr>
        <xdr:cNvSpPr>
          <a:spLocks noChangeArrowheads="1"/>
        </xdr:cNvSpPr>
      </xdr:nvSpPr>
      <xdr:spPr bwMode="auto">
        <a:xfrm>
          <a:off x="5029200" y="990600"/>
          <a:ext cx="1276350" cy="1295400"/>
        </a:xfrm>
        <a:prstGeom prst="octagon">
          <a:avLst>
            <a:gd name="adj" fmla="val 292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6</xdr:row>
      <xdr:rowOff>19050</xdr:rowOff>
    </xdr:from>
    <xdr:to>
      <xdr:col>9</xdr:col>
      <xdr:colOff>219075</xdr:colOff>
      <xdr:row>8</xdr:row>
      <xdr:rowOff>85725</xdr:rowOff>
    </xdr:to>
    <xdr:sp macro="" textlink="">
      <xdr:nvSpPr>
        <xdr:cNvPr id="23711" name="Line 7">
          <a:extLst>
            <a:ext uri="{FF2B5EF4-FFF2-40B4-BE49-F238E27FC236}">
              <a16:creationId xmlns:a16="http://schemas.microsoft.com/office/drawing/2014/main" id="{00000000-0008-0000-0500-00009F5C0000}"/>
            </a:ext>
          </a:extLst>
        </xdr:cNvPr>
        <xdr:cNvSpPr>
          <a:spLocks noChangeShapeType="1"/>
        </xdr:cNvSpPr>
      </xdr:nvSpPr>
      <xdr:spPr bwMode="auto">
        <a:xfrm flipV="1">
          <a:off x="5724525" y="1000125"/>
          <a:ext cx="17145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333375</xdr:colOff>
      <xdr:row>10</xdr:row>
      <xdr:rowOff>114300</xdr:rowOff>
    </xdr:from>
    <xdr:to>
      <xdr:col>8</xdr:col>
      <xdr:colOff>533400</xdr:colOff>
      <xdr:row>13</xdr:row>
      <xdr:rowOff>133350</xdr:rowOff>
    </xdr:to>
    <xdr:sp macro="" textlink="">
      <xdr:nvSpPr>
        <xdr:cNvPr id="23712" name="Line 8">
          <a:extLst>
            <a:ext uri="{FF2B5EF4-FFF2-40B4-BE49-F238E27FC236}">
              <a16:creationId xmlns:a16="http://schemas.microsoft.com/office/drawing/2014/main" id="{00000000-0008-0000-0500-0000A05C0000}"/>
            </a:ext>
          </a:extLst>
        </xdr:cNvPr>
        <xdr:cNvSpPr>
          <a:spLocks noChangeShapeType="1"/>
        </xdr:cNvSpPr>
      </xdr:nvSpPr>
      <xdr:spPr bwMode="auto">
        <a:xfrm flipH="1">
          <a:off x="5400675" y="1762125"/>
          <a:ext cx="2000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396240</xdr:colOff>
      <xdr:row>8</xdr:row>
      <xdr:rowOff>114300</xdr:rowOff>
    </xdr:from>
    <xdr:to>
      <xdr:col>9</xdr:col>
      <xdr:colOff>180978</xdr:colOff>
      <xdr:row>10</xdr:row>
      <xdr:rowOff>57150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500-00000B140000}"/>
            </a:ext>
          </a:extLst>
        </xdr:cNvPr>
        <xdr:cNvSpPr txBox="1">
          <a:spLocks noChangeArrowheads="1"/>
        </xdr:cNvSpPr>
      </xdr:nvSpPr>
      <xdr:spPr bwMode="auto">
        <a:xfrm>
          <a:off x="5457825" y="1428750"/>
          <a:ext cx="400050" cy="266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A</a:t>
          </a:r>
          <a:endParaRPr lang="en-US"/>
        </a:p>
      </xdr:txBody>
    </xdr:sp>
    <xdr:clientData/>
  </xdr:twoCellAnchor>
  <xdr:twoCellAnchor>
    <xdr:from>
      <xdr:col>10</xdr:col>
      <xdr:colOff>586740</xdr:colOff>
      <xdr:row>8</xdr:row>
      <xdr:rowOff>133350</xdr:rowOff>
    </xdr:from>
    <xdr:to>
      <xdr:col>11</xdr:col>
      <xdr:colOff>285840</xdr:colOff>
      <xdr:row>10</xdr:row>
      <xdr:rowOff>104775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00000000-0008-0000-0500-00000C140000}"/>
            </a:ext>
          </a:extLst>
        </xdr:cNvPr>
        <xdr:cNvSpPr txBox="1">
          <a:spLocks noChangeArrowheads="1"/>
        </xdr:cNvSpPr>
      </xdr:nvSpPr>
      <xdr:spPr bwMode="auto">
        <a:xfrm>
          <a:off x="6867525" y="1447800"/>
          <a:ext cx="314325" cy="295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B</a:t>
          </a:r>
          <a:endParaRPr lang="en-US"/>
        </a:p>
      </xdr:txBody>
    </xdr:sp>
    <xdr:clientData/>
  </xdr:twoCellAnchor>
  <xdr:twoCellAnchor>
    <xdr:from>
      <xdr:col>10</xdr:col>
      <xdr:colOff>19050</xdr:colOff>
      <xdr:row>3</xdr:row>
      <xdr:rowOff>85725</xdr:rowOff>
    </xdr:from>
    <xdr:to>
      <xdr:col>10</xdr:col>
      <xdr:colOff>19050</xdr:colOff>
      <xdr:row>3</xdr:row>
      <xdr:rowOff>85725</xdr:rowOff>
    </xdr:to>
    <xdr:sp macro="" textlink="">
      <xdr:nvSpPr>
        <xdr:cNvPr id="23715" name="Line 13">
          <a:extLst>
            <a:ext uri="{FF2B5EF4-FFF2-40B4-BE49-F238E27FC236}">
              <a16:creationId xmlns:a16="http://schemas.microsoft.com/office/drawing/2014/main" id="{00000000-0008-0000-0500-0000A35C0000}"/>
            </a:ext>
          </a:extLst>
        </xdr:cNvPr>
        <xdr:cNvSpPr>
          <a:spLocks noChangeShapeType="1"/>
        </xdr:cNvSpPr>
      </xdr:nvSpPr>
      <xdr:spPr bwMode="auto">
        <a:xfrm>
          <a:off x="6305550" y="57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510540</xdr:colOff>
      <xdr:row>2</xdr:row>
      <xdr:rowOff>150495</xdr:rowOff>
    </xdr:from>
    <xdr:to>
      <xdr:col>9</xdr:col>
      <xdr:colOff>104769</xdr:colOff>
      <xdr:row>4</xdr:row>
      <xdr:rowOff>95427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00000000-0008-0000-0500-000010140000}"/>
            </a:ext>
          </a:extLst>
        </xdr:cNvPr>
        <xdr:cNvSpPr txBox="1">
          <a:spLocks noChangeArrowheads="1"/>
        </xdr:cNvSpPr>
      </xdr:nvSpPr>
      <xdr:spPr bwMode="auto">
        <a:xfrm>
          <a:off x="5572125" y="476250"/>
          <a:ext cx="209550" cy="266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endParaRPr lang="en-US"/>
        </a:p>
      </xdr:txBody>
    </xdr:sp>
    <xdr:clientData/>
  </xdr:twoCellAnchor>
  <xdr:twoCellAnchor>
    <xdr:from>
      <xdr:col>1</xdr:col>
      <xdr:colOff>28575</xdr:colOff>
      <xdr:row>5</xdr:row>
      <xdr:rowOff>19050</xdr:rowOff>
    </xdr:from>
    <xdr:to>
      <xdr:col>3</xdr:col>
      <xdr:colOff>359989</xdr:colOff>
      <xdr:row>7</xdr:row>
      <xdr:rowOff>142875</xdr:rowOff>
    </xdr:to>
    <xdr:sp macro="" textlink="">
      <xdr:nvSpPr>
        <xdr:cNvPr id="5137" name="Text Box 17">
          <a:extLst>
            <a:ext uri="{FF2B5EF4-FFF2-40B4-BE49-F238E27FC236}">
              <a16:creationId xmlns:a16="http://schemas.microsoft.com/office/drawing/2014/main" id="{00000000-0008-0000-0500-000011140000}"/>
            </a:ext>
          </a:extLst>
        </xdr:cNvPr>
        <xdr:cNvSpPr txBox="1">
          <a:spLocks noChangeArrowheads="1"/>
        </xdr:cNvSpPr>
      </xdr:nvSpPr>
      <xdr:spPr bwMode="auto">
        <a:xfrm>
          <a:off x="638175" y="838200"/>
          <a:ext cx="1552575" cy="4476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only one value for either "A" or "B" or"C".</a:t>
          </a:r>
          <a:endParaRPr lang="en-US"/>
        </a:p>
      </xdr:txBody>
    </xdr:sp>
    <xdr:clientData/>
  </xdr:twoCellAnchor>
  <xdr:twoCellAnchor>
    <xdr:from>
      <xdr:col>2</xdr:col>
      <xdr:colOff>491490</xdr:colOff>
      <xdr:row>0</xdr:row>
      <xdr:rowOff>104775</xdr:rowOff>
    </xdr:from>
    <xdr:to>
      <xdr:col>6</xdr:col>
      <xdr:colOff>398163</xdr:colOff>
      <xdr:row>2</xdr:row>
      <xdr:rowOff>47625</xdr:rowOff>
    </xdr:to>
    <xdr:sp macro="" textlink="">
      <xdr:nvSpPr>
        <xdr:cNvPr id="5138" name="Text Box 18">
          <a:extLst>
            <a:ext uri="{FF2B5EF4-FFF2-40B4-BE49-F238E27FC236}">
              <a16:creationId xmlns:a16="http://schemas.microsoft.com/office/drawing/2014/main" id="{00000000-0008-0000-0500-000012140000}"/>
            </a:ext>
          </a:extLst>
        </xdr:cNvPr>
        <xdr:cNvSpPr txBox="1">
          <a:spLocks noChangeArrowheads="1"/>
        </xdr:cNvSpPr>
      </xdr:nvSpPr>
      <xdr:spPr bwMode="auto">
        <a:xfrm>
          <a:off x="1714500" y="104775"/>
          <a:ext cx="2533650" cy="266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Solve Octagon Elements</a:t>
          </a:r>
          <a:endParaRPr lang="en-US"/>
        </a:p>
      </xdr:txBody>
    </xdr:sp>
    <xdr:clientData/>
  </xdr:twoCellAnchor>
  <xdr:twoCellAnchor>
    <xdr:from>
      <xdr:col>10</xdr:col>
      <xdr:colOff>274320</xdr:colOff>
      <xdr:row>31</xdr:row>
      <xdr:rowOff>28575</xdr:rowOff>
    </xdr:from>
    <xdr:to>
      <xdr:col>11</xdr:col>
      <xdr:colOff>76280</xdr:colOff>
      <xdr:row>32</xdr:row>
      <xdr:rowOff>133350</xdr:rowOff>
    </xdr:to>
    <xdr:sp macro="" textlink="">
      <xdr:nvSpPr>
        <xdr:cNvPr id="5148" name="Text Box 28">
          <a:extLst>
            <a:ext uri="{FF2B5EF4-FFF2-40B4-BE49-F238E27FC236}">
              <a16:creationId xmlns:a16="http://schemas.microsoft.com/office/drawing/2014/main" id="{00000000-0008-0000-0500-00001C140000}"/>
            </a:ext>
          </a:extLst>
        </xdr:cNvPr>
        <xdr:cNvSpPr txBox="1">
          <a:spLocks noChangeArrowheads="1"/>
        </xdr:cNvSpPr>
      </xdr:nvSpPr>
      <xdr:spPr bwMode="auto">
        <a:xfrm>
          <a:off x="6562725" y="5124450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A</a:t>
          </a:r>
          <a:endParaRPr lang="en-US"/>
        </a:p>
      </xdr:txBody>
    </xdr:sp>
    <xdr:clientData/>
  </xdr:twoCellAnchor>
  <xdr:twoCellAnchor>
    <xdr:from>
      <xdr:col>8</xdr:col>
      <xdr:colOff>379095</xdr:colOff>
      <xdr:row>31</xdr:row>
      <xdr:rowOff>9525</xdr:rowOff>
    </xdr:from>
    <xdr:to>
      <xdr:col>9</xdr:col>
      <xdr:colOff>83820</xdr:colOff>
      <xdr:row>32</xdr:row>
      <xdr:rowOff>142875</xdr:rowOff>
    </xdr:to>
    <xdr:sp macro="" textlink="">
      <xdr:nvSpPr>
        <xdr:cNvPr id="5149" name="Text Box 29">
          <a:extLst>
            <a:ext uri="{FF2B5EF4-FFF2-40B4-BE49-F238E27FC236}">
              <a16:creationId xmlns:a16="http://schemas.microsoft.com/office/drawing/2014/main" id="{00000000-0008-0000-0500-00001D140000}"/>
            </a:ext>
          </a:extLst>
        </xdr:cNvPr>
        <xdr:cNvSpPr txBox="1">
          <a:spLocks noChangeArrowheads="1"/>
        </xdr:cNvSpPr>
      </xdr:nvSpPr>
      <xdr:spPr bwMode="auto">
        <a:xfrm>
          <a:off x="5448300" y="5105400"/>
          <a:ext cx="314325" cy="295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B</a:t>
          </a:r>
          <a:endParaRPr lang="en-US"/>
        </a:p>
      </xdr:txBody>
    </xdr:sp>
    <xdr:clientData/>
  </xdr:twoCellAnchor>
  <xdr:twoCellAnchor>
    <xdr:from>
      <xdr:col>10</xdr:col>
      <xdr:colOff>19050</xdr:colOff>
      <xdr:row>25</xdr:row>
      <xdr:rowOff>85725</xdr:rowOff>
    </xdr:from>
    <xdr:to>
      <xdr:col>10</xdr:col>
      <xdr:colOff>19050</xdr:colOff>
      <xdr:row>25</xdr:row>
      <xdr:rowOff>85725</xdr:rowOff>
    </xdr:to>
    <xdr:sp macro="" textlink="">
      <xdr:nvSpPr>
        <xdr:cNvPr id="23721" name="Line 30">
          <a:extLst>
            <a:ext uri="{FF2B5EF4-FFF2-40B4-BE49-F238E27FC236}">
              <a16:creationId xmlns:a16="http://schemas.microsoft.com/office/drawing/2014/main" id="{00000000-0008-0000-0500-0000A95C0000}"/>
            </a:ext>
          </a:extLst>
        </xdr:cNvPr>
        <xdr:cNvSpPr>
          <a:spLocks noChangeShapeType="1"/>
        </xdr:cNvSpPr>
      </xdr:nvSpPr>
      <xdr:spPr bwMode="auto">
        <a:xfrm>
          <a:off x="63055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398145</xdr:colOff>
      <xdr:row>24</xdr:row>
      <xdr:rowOff>83820</xdr:rowOff>
    </xdr:from>
    <xdr:to>
      <xdr:col>10</xdr:col>
      <xdr:colOff>605562</xdr:colOff>
      <xdr:row>26</xdr:row>
      <xdr:rowOff>28752</xdr:rowOff>
    </xdr:to>
    <xdr:sp macro="" textlink="">
      <xdr:nvSpPr>
        <xdr:cNvPr id="5153" name="Text Box 33">
          <a:extLst>
            <a:ext uri="{FF2B5EF4-FFF2-40B4-BE49-F238E27FC236}">
              <a16:creationId xmlns:a16="http://schemas.microsoft.com/office/drawing/2014/main" id="{00000000-0008-0000-0500-000021140000}"/>
            </a:ext>
          </a:extLst>
        </xdr:cNvPr>
        <xdr:cNvSpPr txBox="1">
          <a:spLocks noChangeArrowheads="1"/>
        </xdr:cNvSpPr>
      </xdr:nvSpPr>
      <xdr:spPr bwMode="auto">
        <a:xfrm>
          <a:off x="6686550" y="4019550"/>
          <a:ext cx="209550" cy="266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endParaRPr lang="en-US"/>
        </a:p>
      </xdr:txBody>
    </xdr:sp>
    <xdr:clientData/>
  </xdr:twoCellAnchor>
  <xdr:twoCellAnchor>
    <xdr:from>
      <xdr:col>1</xdr:col>
      <xdr:colOff>28575</xdr:colOff>
      <xdr:row>27</xdr:row>
      <xdr:rowOff>19050</xdr:rowOff>
    </xdr:from>
    <xdr:to>
      <xdr:col>3</xdr:col>
      <xdr:colOff>359989</xdr:colOff>
      <xdr:row>29</xdr:row>
      <xdr:rowOff>142875</xdr:rowOff>
    </xdr:to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00000000-0008-0000-0500-000022140000}"/>
            </a:ext>
          </a:extLst>
        </xdr:cNvPr>
        <xdr:cNvSpPr txBox="1">
          <a:spLocks noChangeArrowheads="1"/>
        </xdr:cNvSpPr>
      </xdr:nvSpPr>
      <xdr:spPr bwMode="auto">
        <a:xfrm>
          <a:off x="638175" y="4448175"/>
          <a:ext cx="1552575" cy="4476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only one value for either "A" or "B" or"C".</a:t>
          </a:r>
          <a:endParaRPr lang="en-US"/>
        </a:p>
      </xdr:txBody>
    </xdr:sp>
    <xdr:clientData/>
  </xdr:twoCellAnchor>
  <xdr:twoCellAnchor>
    <xdr:from>
      <xdr:col>2</xdr:col>
      <xdr:colOff>491490</xdr:colOff>
      <xdr:row>22</xdr:row>
      <xdr:rowOff>104775</xdr:rowOff>
    </xdr:from>
    <xdr:to>
      <xdr:col>6</xdr:col>
      <xdr:colOff>398163</xdr:colOff>
      <xdr:row>24</xdr:row>
      <xdr:rowOff>47625</xdr:rowOff>
    </xdr:to>
    <xdr:sp macro="" textlink="">
      <xdr:nvSpPr>
        <xdr:cNvPr id="5155" name="Text Box 35">
          <a:extLst>
            <a:ext uri="{FF2B5EF4-FFF2-40B4-BE49-F238E27FC236}">
              <a16:creationId xmlns:a16="http://schemas.microsoft.com/office/drawing/2014/main" id="{00000000-0008-0000-0500-000023140000}"/>
            </a:ext>
          </a:extLst>
        </xdr:cNvPr>
        <xdr:cNvSpPr txBox="1">
          <a:spLocks noChangeArrowheads="1"/>
        </xdr:cNvSpPr>
      </xdr:nvSpPr>
      <xdr:spPr bwMode="auto">
        <a:xfrm>
          <a:off x="1714500" y="3714750"/>
          <a:ext cx="2533650" cy="266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Solve Hexagon Elements</a:t>
          </a:r>
          <a:endParaRPr lang="en-US"/>
        </a:p>
      </xdr:txBody>
    </xdr:sp>
    <xdr:clientData/>
  </xdr:twoCellAnchor>
  <xdr:twoCellAnchor>
    <xdr:from>
      <xdr:col>11</xdr:col>
      <xdr:colOff>57150</xdr:colOff>
      <xdr:row>32</xdr:row>
      <xdr:rowOff>0</xdr:rowOff>
    </xdr:from>
    <xdr:to>
      <xdr:col>11</xdr:col>
      <xdr:colOff>552450</xdr:colOff>
      <xdr:row>32</xdr:row>
      <xdr:rowOff>0</xdr:rowOff>
    </xdr:to>
    <xdr:sp macro="" textlink="">
      <xdr:nvSpPr>
        <xdr:cNvPr id="23725" name="Line 40">
          <a:extLst>
            <a:ext uri="{FF2B5EF4-FFF2-40B4-BE49-F238E27FC236}">
              <a16:creationId xmlns:a16="http://schemas.microsoft.com/office/drawing/2014/main" id="{00000000-0008-0000-0500-0000AD5C0000}"/>
            </a:ext>
          </a:extLst>
        </xdr:cNvPr>
        <xdr:cNvSpPr>
          <a:spLocks noChangeShapeType="1"/>
        </xdr:cNvSpPr>
      </xdr:nvSpPr>
      <xdr:spPr bwMode="auto">
        <a:xfrm>
          <a:off x="6953250" y="52768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32</xdr:row>
      <xdr:rowOff>9525</xdr:rowOff>
    </xdr:from>
    <xdr:to>
      <xdr:col>10</xdr:col>
      <xdr:colOff>314325</xdr:colOff>
      <xdr:row>32</xdr:row>
      <xdr:rowOff>9525</xdr:rowOff>
    </xdr:to>
    <xdr:sp macro="" textlink="">
      <xdr:nvSpPr>
        <xdr:cNvPr id="23726" name="Line 41">
          <a:extLst>
            <a:ext uri="{FF2B5EF4-FFF2-40B4-BE49-F238E27FC236}">
              <a16:creationId xmlns:a16="http://schemas.microsoft.com/office/drawing/2014/main" id="{00000000-0008-0000-0500-0000AE5C0000}"/>
            </a:ext>
          </a:extLst>
        </xdr:cNvPr>
        <xdr:cNvSpPr>
          <a:spLocks noChangeShapeType="1"/>
        </xdr:cNvSpPr>
      </xdr:nvSpPr>
      <xdr:spPr bwMode="auto">
        <a:xfrm flipH="1">
          <a:off x="6096000" y="52863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35</xdr:row>
      <xdr:rowOff>95250</xdr:rowOff>
    </xdr:from>
    <xdr:to>
      <xdr:col>10</xdr:col>
      <xdr:colOff>47625</xdr:colOff>
      <xdr:row>35</xdr:row>
      <xdr:rowOff>95250</xdr:rowOff>
    </xdr:to>
    <xdr:sp macro="" textlink="">
      <xdr:nvSpPr>
        <xdr:cNvPr id="23727" name="Line 42">
          <a:extLst>
            <a:ext uri="{FF2B5EF4-FFF2-40B4-BE49-F238E27FC236}">
              <a16:creationId xmlns:a16="http://schemas.microsoft.com/office/drawing/2014/main" id="{00000000-0008-0000-0500-0000AF5C0000}"/>
            </a:ext>
          </a:extLst>
        </xdr:cNvPr>
        <xdr:cNvSpPr>
          <a:spLocks noChangeShapeType="1"/>
        </xdr:cNvSpPr>
      </xdr:nvSpPr>
      <xdr:spPr bwMode="auto">
        <a:xfrm flipH="1">
          <a:off x="5410200" y="585787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28</xdr:row>
      <xdr:rowOff>66675</xdr:rowOff>
    </xdr:from>
    <xdr:to>
      <xdr:col>10</xdr:col>
      <xdr:colOff>38100</xdr:colOff>
      <xdr:row>28</xdr:row>
      <xdr:rowOff>66675</xdr:rowOff>
    </xdr:to>
    <xdr:sp macro="" textlink="">
      <xdr:nvSpPr>
        <xdr:cNvPr id="23728" name="Line 43">
          <a:extLst>
            <a:ext uri="{FF2B5EF4-FFF2-40B4-BE49-F238E27FC236}">
              <a16:creationId xmlns:a16="http://schemas.microsoft.com/office/drawing/2014/main" id="{00000000-0008-0000-0500-0000B05C0000}"/>
            </a:ext>
          </a:extLst>
        </xdr:cNvPr>
        <xdr:cNvSpPr>
          <a:spLocks noChangeShapeType="1"/>
        </xdr:cNvSpPr>
      </xdr:nvSpPr>
      <xdr:spPr bwMode="auto">
        <a:xfrm flipH="1">
          <a:off x="5457825" y="467677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24</xdr:row>
      <xdr:rowOff>19050</xdr:rowOff>
    </xdr:from>
    <xdr:to>
      <xdr:col>10</xdr:col>
      <xdr:colOff>152400</xdr:colOff>
      <xdr:row>28</xdr:row>
      <xdr:rowOff>0</xdr:rowOff>
    </xdr:to>
    <xdr:sp macro="" textlink="">
      <xdr:nvSpPr>
        <xdr:cNvPr id="23729" name="Line 44">
          <a:extLst>
            <a:ext uri="{FF2B5EF4-FFF2-40B4-BE49-F238E27FC236}">
              <a16:creationId xmlns:a16="http://schemas.microsoft.com/office/drawing/2014/main" id="{00000000-0008-0000-0500-0000B15C0000}"/>
            </a:ext>
          </a:extLst>
        </xdr:cNvPr>
        <xdr:cNvSpPr>
          <a:spLocks noChangeShapeType="1"/>
        </xdr:cNvSpPr>
      </xdr:nvSpPr>
      <xdr:spPr bwMode="auto">
        <a:xfrm flipV="1">
          <a:off x="6438900" y="39719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219075</xdr:colOff>
      <xdr:row>24</xdr:row>
      <xdr:rowOff>28575</xdr:rowOff>
    </xdr:from>
    <xdr:to>
      <xdr:col>11</xdr:col>
      <xdr:colOff>219075</xdr:colOff>
      <xdr:row>27</xdr:row>
      <xdr:rowOff>152400</xdr:rowOff>
    </xdr:to>
    <xdr:sp macro="" textlink="">
      <xdr:nvSpPr>
        <xdr:cNvPr id="23730" name="Line 45">
          <a:extLst>
            <a:ext uri="{FF2B5EF4-FFF2-40B4-BE49-F238E27FC236}">
              <a16:creationId xmlns:a16="http://schemas.microsoft.com/office/drawing/2014/main" id="{00000000-0008-0000-0500-0000B25C0000}"/>
            </a:ext>
          </a:extLst>
        </xdr:cNvPr>
        <xdr:cNvSpPr>
          <a:spLocks noChangeShapeType="1"/>
        </xdr:cNvSpPr>
      </xdr:nvSpPr>
      <xdr:spPr bwMode="auto">
        <a:xfrm flipV="1">
          <a:off x="7115175" y="398145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25</xdr:row>
      <xdr:rowOff>66675</xdr:rowOff>
    </xdr:from>
    <xdr:to>
      <xdr:col>11</xdr:col>
      <xdr:colOff>209550</xdr:colOff>
      <xdr:row>25</xdr:row>
      <xdr:rowOff>66675</xdr:rowOff>
    </xdr:to>
    <xdr:sp macro="" textlink="">
      <xdr:nvSpPr>
        <xdr:cNvPr id="23731" name="Line 46">
          <a:extLst>
            <a:ext uri="{FF2B5EF4-FFF2-40B4-BE49-F238E27FC236}">
              <a16:creationId xmlns:a16="http://schemas.microsoft.com/office/drawing/2014/main" id="{00000000-0008-0000-0500-0000B35C0000}"/>
            </a:ext>
          </a:extLst>
        </xdr:cNvPr>
        <xdr:cNvSpPr>
          <a:spLocks noChangeShapeType="1"/>
        </xdr:cNvSpPr>
      </xdr:nvSpPr>
      <xdr:spPr bwMode="auto">
        <a:xfrm>
          <a:off x="6934200" y="4181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25</xdr:row>
      <xdr:rowOff>57150</xdr:rowOff>
    </xdr:from>
    <xdr:to>
      <xdr:col>10</xdr:col>
      <xdr:colOff>381000</xdr:colOff>
      <xdr:row>25</xdr:row>
      <xdr:rowOff>57150</xdr:rowOff>
    </xdr:to>
    <xdr:sp macro="" textlink="">
      <xdr:nvSpPr>
        <xdr:cNvPr id="23732" name="Line 47">
          <a:extLst>
            <a:ext uri="{FF2B5EF4-FFF2-40B4-BE49-F238E27FC236}">
              <a16:creationId xmlns:a16="http://schemas.microsoft.com/office/drawing/2014/main" id="{00000000-0008-0000-0500-0000B45C0000}"/>
            </a:ext>
          </a:extLst>
        </xdr:cNvPr>
        <xdr:cNvSpPr>
          <a:spLocks noChangeShapeType="1"/>
        </xdr:cNvSpPr>
      </xdr:nvSpPr>
      <xdr:spPr bwMode="auto">
        <a:xfrm flipH="1">
          <a:off x="6438900" y="41719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28</xdr:row>
      <xdr:rowOff>66675</xdr:rowOff>
    </xdr:from>
    <xdr:to>
      <xdr:col>8</xdr:col>
      <xdr:colOff>533400</xdr:colOff>
      <xdr:row>31</xdr:row>
      <xdr:rowOff>19050</xdr:rowOff>
    </xdr:to>
    <xdr:sp macro="" textlink="">
      <xdr:nvSpPr>
        <xdr:cNvPr id="23733" name="Line 48">
          <a:extLst>
            <a:ext uri="{FF2B5EF4-FFF2-40B4-BE49-F238E27FC236}">
              <a16:creationId xmlns:a16="http://schemas.microsoft.com/office/drawing/2014/main" id="{00000000-0008-0000-0500-0000B55C0000}"/>
            </a:ext>
          </a:extLst>
        </xdr:cNvPr>
        <xdr:cNvSpPr>
          <a:spLocks noChangeShapeType="1"/>
        </xdr:cNvSpPr>
      </xdr:nvSpPr>
      <xdr:spPr bwMode="auto">
        <a:xfrm flipV="1">
          <a:off x="5600700" y="46767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32</xdr:row>
      <xdr:rowOff>104775</xdr:rowOff>
    </xdr:from>
    <xdr:to>
      <xdr:col>8</xdr:col>
      <xdr:colOff>533400</xdr:colOff>
      <xdr:row>35</xdr:row>
      <xdr:rowOff>95250</xdr:rowOff>
    </xdr:to>
    <xdr:sp macro="" textlink="">
      <xdr:nvSpPr>
        <xdr:cNvPr id="23734" name="Line 49">
          <a:extLst>
            <a:ext uri="{FF2B5EF4-FFF2-40B4-BE49-F238E27FC236}">
              <a16:creationId xmlns:a16="http://schemas.microsoft.com/office/drawing/2014/main" id="{00000000-0008-0000-0500-0000B65C0000}"/>
            </a:ext>
          </a:extLst>
        </xdr:cNvPr>
        <xdr:cNvSpPr>
          <a:spLocks noChangeShapeType="1"/>
        </xdr:cNvSpPr>
      </xdr:nvSpPr>
      <xdr:spPr bwMode="auto">
        <a:xfrm>
          <a:off x="5600700" y="53816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323850</xdr:colOff>
      <xdr:row>3</xdr:row>
      <xdr:rowOff>0</xdr:rowOff>
    </xdr:from>
    <xdr:to>
      <xdr:col>8</xdr:col>
      <xdr:colOff>323850</xdr:colOff>
      <xdr:row>5</xdr:row>
      <xdr:rowOff>114300</xdr:rowOff>
    </xdr:to>
    <xdr:sp macro="" textlink="">
      <xdr:nvSpPr>
        <xdr:cNvPr id="23735" name="Line 51">
          <a:extLst>
            <a:ext uri="{FF2B5EF4-FFF2-40B4-BE49-F238E27FC236}">
              <a16:creationId xmlns:a16="http://schemas.microsoft.com/office/drawing/2014/main" id="{00000000-0008-0000-0500-0000B75C0000}"/>
            </a:ext>
          </a:extLst>
        </xdr:cNvPr>
        <xdr:cNvSpPr>
          <a:spLocks noChangeShapeType="1"/>
        </xdr:cNvSpPr>
      </xdr:nvSpPr>
      <xdr:spPr bwMode="auto">
        <a:xfrm flipV="1">
          <a:off x="5391150" y="48577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247650</xdr:colOff>
      <xdr:row>3</xdr:row>
      <xdr:rowOff>9525</xdr:rowOff>
    </xdr:from>
    <xdr:to>
      <xdr:col>9</xdr:col>
      <xdr:colOff>247650</xdr:colOff>
      <xdr:row>5</xdr:row>
      <xdr:rowOff>123825</xdr:rowOff>
    </xdr:to>
    <xdr:sp macro="" textlink="">
      <xdr:nvSpPr>
        <xdr:cNvPr id="23736" name="Line 52">
          <a:extLst>
            <a:ext uri="{FF2B5EF4-FFF2-40B4-BE49-F238E27FC236}">
              <a16:creationId xmlns:a16="http://schemas.microsoft.com/office/drawing/2014/main" id="{00000000-0008-0000-0500-0000B85C0000}"/>
            </a:ext>
          </a:extLst>
        </xdr:cNvPr>
        <xdr:cNvSpPr>
          <a:spLocks noChangeShapeType="1"/>
        </xdr:cNvSpPr>
      </xdr:nvSpPr>
      <xdr:spPr bwMode="auto">
        <a:xfrm flipV="1">
          <a:off x="5924550" y="49530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3</xdr:row>
      <xdr:rowOff>123825</xdr:rowOff>
    </xdr:from>
    <xdr:to>
      <xdr:col>9</xdr:col>
      <xdr:colOff>247650</xdr:colOff>
      <xdr:row>3</xdr:row>
      <xdr:rowOff>123825</xdr:rowOff>
    </xdr:to>
    <xdr:sp macro="" textlink="">
      <xdr:nvSpPr>
        <xdr:cNvPr id="23737" name="Line 53">
          <a:extLst>
            <a:ext uri="{FF2B5EF4-FFF2-40B4-BE49-F238E27FC236}">
              <a16:creationId xmlns:a16="http://schemas.microsoft.com/office/drawing/2014/main" id="{00000000-0008-0000-0500-0000B95C0000}"/>
            </a:ext>
          </a:extLst>
        </xdr:cNvPr>
        <xdr:cNvSpPr>
          <a:spLocks noChangeShapeType="1"/>
        </xdr:cNvSpPr>
      </xdr:nvSpPr>
      <xdr:spPr bwMode="auto">
        <a:xfrm>
          <a:off x="5791200" y="6096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323850</xdr:colOff>
      <xdr:row>3</xdr:row>
      <xdr:rowOff>123825</xdr:rowOff>
    </xdr:from>
    <xdr:to>
      <xdr:col>8</xdr:col>
      <xdr:colOff>495300</xdr:colOff>
      <xdr:row>3</xdr:row>
      <xdr:rowOff>123825</xdr:rowOff>
    </xdr:to>
    <xdr:sp macro="" textlink="">
      <xdr:nvSpPr>
        <xdr:cNvPr id="23738" name="Line 54">
          <a:extLst>
            <a:ext uri="{FF2B5EF4-FFF2-40B4-BE49-F238E27FC236}">
              <a16:creationId xmlns:a16="http://schemas.microsoft.com/office/drawing/2014/main" id="{00000000-0008-0000-0500-0000BA5C0000}"/>
            </a:ext>
          </a:extLst>
        </xdr:cNvPr>
        <xdr:cNvSpPr>
          <a:spLocks noChangeShapeType="1"/>
        </xdr:cNvSpPr>
      </xdr:nvSpPr>
      <xdr:spPr bwMode="auto">
        <a:xfrm flipH="1">
          <a:off x="5391150" y="6096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3739" name="Line 55">
          <a:extLst>
            <a:ext uri="{FF2B5EF4-FFF2-40B4-BE49-F238E27FC236}">
              <a16:creationId xmlns:a16="http://schemas.microsoft.com/office/drawing/2014/main" id="{00000000-0008-0000-0500-0000BB5C0000}"/>
            </a:ext>
          </a:extLst>
        </xdr:cNvPr>
        <xdr:cNvSpPr>
          <a:spLocks noChangeShapeType="1"/>
        </xdr:cNvSpPr>
      </xdr:nvSpPr>
      <xdr:spPr bwMode="auto">
        <a:xfrm>
          <a:off x="6029325" y="981075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13</xdr:row>
      <xdr:rowOff>152400</xdr:rowOff>
    </xdr:from>
    <xdr:to>
      <xdr:col>11</xdr:col>
      <xdr:colOff>561975</xdr:colOff>
      <xdr:row>13</xdr:row>
      <xdr:rowOff>152400</xdr:rowOff>
    </xdr:to>
    <xdr:sp macro="" textlink="">
      <xdr:nvSpPr>
        <xdr:cNvPr id="23740" name="Line 56">
          <a:extLst>
            <a:ext uri="{FF2B5EF4-FFF2-40B4-BE49-F238E27FC236}">
              <a16:creationId xmlns:a16="http://schemas.microsoft.com/office/drawing/2014/main" id="{00000000-0008-0000-0500-0000BC5C0000}"/>
            </a:ext>
          </a:extLst>
        </xdr:cNvPr>
        <xdr:cNvSpPr>
          <a:spLocks noChangeShapeType="1"/>
        </xdr:cNvSpPr>
      </xdr:nvSpPr>
      <xdr:spPr bwMode="auto">
        <a:xfrm>
          <a:off x="6019800" y="22860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6</xdr:row>
      <xdr:rowOff>0</xdr:rowOff>
    </xdr:from>
    <xdr:to>
      <xdr:col>11</xdr:col>
      <xdr:colOff>133350</xdr:colOff>
      <xdr:row>8</xdr:row>
      <xdr:rowOff>133350</xdr:rowOff>
    </xdr:to>
    <xdr:sp macro="" textlink="">
      <xdr:nvSpPr>
        <xdr:cNvPr id="23741" name="Line 57">
          <a:extLst>
            <a:ext uri="{FF2B5EF4-FFF2-40B4-BE49-F238E27FC236}">
              <a16:creationId xmlns:a16="http://schemas.microsoft.com/office/drawing/2014/main" id="{00000000-0008-0000-0500-0000BD5C0000}"/>
            </a:ext>
          </a:extLst>
        </xdr:cNvPr>
        <xdr:cNvSpPr>
          <a:spLocks noChangeShapeType="1"/>
        </xdr:cNvSpPr>
      </xdr:nvSpPr>
      <xdr:spPr bwMode="auto">
        <a:xfrm flipV="1">
          <a:off x="7029450" y="9810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66675</xdr:rowOff>
    </xdr:from>
    <xdr:to>
      <xdr:col>11</xdr:col>
      <xdr:colOff>142875</xdr:colOff>
      <xdr:row>13</xdr:row>
      <xdr:rowOff>142875</xdr:rowOff>
    </xdr:to>
    <xdr:sp macro="" textlink="">
      <xdr:nvSpPr>
        <xdr:cNvPr id="23742" name="Line 58">
          <a:extLst>
            <a:ext uri="{FF2B5EF4-FFF2-40B4-BE49-F238E27FC236}">
              <a16:creationId xmlns:a16="http://schemas.microsoft.com/office/drawing/2014/main" id="{00000000-0008-0000-0500-0000BE5C0000}"/>
            </a:ext>
          </a:extLst>
        </xdr:cNvPr>
        <xdr:cNvSpPr>
          <a:spLocks noChangeShapeType="1"/>
        </xdr:cNvSpPr>
      </xdr:nvSpPr>
      <xdr:spPr bwMode="auto">
        <a:xfrm>
          <a:off x="7038975" y="17145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50</xdr:row>
      <xdr:rowOff>66675</xdr:rowOff>
    </xdr:from>
    <xdr:to>
      <xdr:col>11</xdr:col>
      <xdr:colOff>552450</xdr:colOff>
      <xdr:row>57</xdr:row>
      <xdr:rowOff>104775</xdr:rowOff>
    </xdr:to>
    <xdr:sp macro="" textlink="">
      <xdr:nvSpPr>
        <xdr:cNvPr id="23743" name="AutoShape 59">
          <a:extLst>
            <a:ext uri="{FF2B5EF4-FFF2-40B4-BE49-F238E27FC236}">
              <a16:creationId xmlns:a16="http://schemas.microsoft.com/office/drawing/2014/main" id="{00000000-0008-0000-0500-0000BF5C0000}"/>
            </a:ext>
          </a:extLst>
        </xdr:cNvPr>
        <xdr:cNvSpPr>
          <a:spLocks noChangeArrowheads="1"/>
        </xdr:cNvSpPr>
      </xdr:nvSpPr>
      <xdr:spPr bwMode="auto">
        <a:xfrm>
          <a:off x="6086475" y="8296275"/>
          <a:ext cx="1362075" cy="1219200"/>
        </a:xfrm>
        <a:prstGeom prst="hexagon">
          <a:avLst>
            <a:gd name="adj" fmla="val 27930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588645</xdr:colOff>
      <xdr:row>51</xdr:row>
      <xdr:rowOff>76200</xdr:rowOff>
    </xdr:from>
    <xdr:to>
      <xdr:col>10</xdr:col>
      <xdr:colOff>396344</xdr:colOff>
      <xdr:row>53</xdr:row>
      <xdr:rowOff>9525</xdr:rowOff>
    </xdr:to>
    <xdr:sp macro="" textlink="">
      <xdr:nvSpPr>
        <xdr:cNvPr id="5180" name="Text Box 60">
          <a:extLst>
            <a:ext uri="{FF2B5EF4-FFF2-40B4-BE49-F238E27FC236}">
              <a16:creationId xmlns:a16="http://schemas.microsoft.com/office/drawing/2014/main" id="{00000000-0008-0000-0500-00003C140000}"/>
            </a:ext>
          </a:extLst>
        </xdr:cNvPr>
        <xdr:cNvSpPr txBox="1">
          <a:spLocks noChangeArrowheads="1"/>
        </xdr:cNvSpPr>
      </xdr:nvSpPr>
      <xdr:spPr bwMode="auto">
        <a:xfrm>
          <a:off x="6267450" y="8467725"/>
          <a:ext cx="409575" cy="2762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A</a:t>
          </a:r>
          <a:endParaRPr lang="en-US"/>
        </a:p>
      </xdr:txBody>
    </xdr:sp>
    <xdr:clientData/>
  </xdr:twoCellAnchor>
  <xdr:twoCellAnchor>
    <xdr:from>
      <xdr:col>10</xdr:col>
      <xdr:colOff>436245</xdr:colOff>
      <xdr:row>51</xdr:row>
      <xdr:rowOff>38100</xdr:rowOff>
    </xdr:from>
    <xdr:to>
      <xdr:col>11</xdr:col>
      <xdr:colOff>142889</xdr:colOff>
      <xdr:row>53</xdr:row>
      <xdr:rowOff>0</xdr:rowOff>
    </xdr:to>
    <xdr:sp macro="" textlink="">
      <xdr:nvSpPr>
        <xdr:cNvPr id="5181" name="Text Box 61">
          <a:extLst>
            <a:ext uri="{FF2B5EF4-FFF2-40B4-BE49-F238E27FC236}">
              <a16:creationId xmlns:a16="http://schemas.microsoft.com/office/drawing/2014/main" id="{00000000-0008-0000-0500-00003D140000}"/>
            </a:ext>
          </a:extLst>
        </xdr:cNvPr>
        <xdr:cNvSpPr txBox="1">
          <a:spLocks noChangeArrowheads="1"/>
        </xdr:cNvSpPr>
      </xdr:nvSpPr>
      <xdr:spPr bwMode="auto">
        <a:xfrm>
          <a:off x="6724650" y="8410575"/>
          <a:ext cx="314325" cy="304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B</a:t>
          </a:r>
          <a:endParaRPr lang="en-US"/>
        </a:p>
      </xdr:txBody>
    </xdr:sp>
    <xdr:clientData/>
  </xdr:twoCellAnchor>
  <xdr:twoCellAnchor>
    <xdr:from>
      <xdr:col>10</xdr:col>
      <xdr:colOff>19050</xdr:colOff>
      <xdr:row>47</xdr:row>
      <xdr:rowOff>85725</xdr:rowOff>
    </xdr:from>
    <xdr:to>
      <xdr:col>10</xdr:col>
      <xdr:colOff>19050</xdr:colOff>
      <xdr:row>47</xdr:row>
      <xdr:rowOff>85725</xdr:rowOff>
    </xdr:to>
    <xdr:sp macro="" textlink="">
      <xdr:nvSpPr>
        <xdr:cNvPr id="23746" name="Line 62">
          <a:extLst>
            <a:ext uri="{FF2B5EF4-FFF2-40B4-BE49-F238E27FC236}">
              <a16:creationId xmlns:a16="http://schemas.microsoft.com/office/drawing/2014/main" id="{00000000-0008-0000-0500-0000C25C0000}"/>
            </a:ext>
          </a:extLst>
        </xdr:cNvPr>
        <xdr:cNvSpPr>
          <a:spLocks noChangeShapeType="1"/>
        </xdr:cNvSpPr>
      </xdr:nvSpPr>
      <xdr:spPr bwMode="auto">
        <a:xfrm>
          <a:off x="6305550" y="781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398145</xdr:colOff>
      <xdr:row>46</xdr:row>
      <xdr:rowOff>83820</xdr:rowOff>
    </xdr:from>
    <xdr:to>
      <xdr:col>10</xdr:col>
      <xdr:colOff>605562</xdr:colOff>
      <xdr:row>48</xdr:row>
      <xdr:rowOff>28747</xdr:rowOff>
    </xdr:to>
    <xdr:sp macro="" textlink="">
      <xdr:nvSpPr>
        <xdr:cNvPr id="5183" name="Text Box 63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SpPr txBox="1">
          <a:spLocks noChangeArrowheads="1"/>
        </xdr:cNvSpPr>
      </xdr:nvSpPr>
      <xdr:spPr bwMode="auto">
        <a:xfrm>
          <a:off x="6686550" y="7629525"/>
          <a:ext cx="209550" cy="2762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endParaRPr lang="en-US"/>
        </a:p>
      </xdr:txBody>
    </xdr:sp>
    <xdr:clientData/>
  </xdr:twoCellAnchor>
  <xdr:twoCellAnchor>
    <xdr:from>
      <xdr:col>1</xdr:col>
      <xdr:colOff>95250</xdr:colOff>
      <xdr:row>49</xdr:row>
      <xdr:rowOff>19050</xdr:rowOff>
    </xdr:from>
    <xdr:to>
      <xdr:col>3</xdr:col>
      <xdr:colOff>350561</xdr:colOff>
      <xdr:row>52</xdr:row>
      <xdr:rowOff>9525</xdr:rowOff>
    </xdr:to>
    <xdr:sp macro="" textlink="">
      <xdr:nvSpPr>
        <xdr:cNvPr id="5184" name="Text Box 64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SpPr txBox="1">
          <a:spLocks noChangeArrowheads="1"/>
        </xdr:cNvSpPr>
      </xdr:nvSpPr>
      <xdr:spPr bwMode="auto">
        <a:xfrm>
          <a:off x="704850" y="8067675"/>
          <a:ext cx="147637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Radius to a Corner</a:t>
          </a:r>
        </a:p>
        <a:p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Radius to a Flat</a:t>
          </a:r>
        </a:p>
        <a:p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Length of the flat element</a:t>
          </a:r>
          <a:endParaRPr lang="en-US"/>
        </a:p>
      </xdr:txBody>
    </xdr:sp>
    <xdr:clientData/>
  </xdr:twoCellAnchor>
  <xdr:twoCellAnchor>
    <xdr:from>
      <xdr:col>2</xdr:col>
      <xdr:colOff>491490</xdr:colOff>
      <xdr:row>44</xdr:row>
      <xdr:rowOff>104775</xdr:rowOff>
    </xdr:from>
    <xdr:to>
      <xdr:col>8</xdr:col>
      <xdr:colOff>38122</xdr:colOff>
      <xdr:row>46</xdr:row>
      <xdr:rowOff>47625</xdr:rowOff>
    </xdr:to>
    <xdr:sp macro="" textlink="">
      <xdr:nvSpPr>
        <xdr:cNvPr id="5185" name="Text Box 65">
          <a:extLst>
            <a:ext uri="{FF2B5EF4-FFF2-40B4-BE49-F238E27FC236}">
              <a16:creationId xmlns:a16="http://schemas.microsoft.com/office/drawing/2014/main" id="{00000000-0008-0000-0500-000041140000}"/>
            </a:ext>
          </a:extLst>
        </xdr:cNvPr>
        <xdr:cNvSpPr txBox="1">
          <a:spLocks noChangeArrowheads="1"/>
        </xdr:cNvSpPr>
      </xdr:nvSpPr>
      <xdr:spPr bwMode="auto">
        <a:xfrm>
          <a:off x="1714500" y="7324725"/>
          <a:ext cx="3390900" cy="266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Solve Multiple Sided  Shapes shapesElements</a:t>
          </a:r>
          <a:endParaRPr lang="en-US"/>
        </a:p>
      </xdr:txBody>
    </xdr:sp>
    <xdr:clientData/>
  </xdr:twoCellAnchor>
  <xdr:twoCellAnchor>
    <xdr:from>
      <xdr:col>10</xdr:col>
      <xdr:colOff>152400</xdr:colOff>
      <xdr:row>46</xdr:row>
      <xdr:rowOff>19050</xdr:rowOff>
    </xdr:from>
    <xdr:to>
      <xdr:col>10</xdr:col>
      <xdr:colOff>152400</xdr:colOff>
      <xdr:row>50</xdr:row>
      <xdr:rowOff>0</xdr:rowOff>
    </xdr:to>
    <xdr:sp macro="" textlink="">
      <xdr:nvSpPr>
        <xdr:cNvPr id="23750" name="Line 70">
          <a:extLst>
            <a:ext uri="{FF2B5EF4-FFF2-40B4-BE49-F238E27FC236}">
              <a16:creationId xmlns:a16="http://schemas.microsoft.com/office/drawing/2014/main" id="{00000000-0008-0000-0500-0000C65C0000}"/>
            </a:ext>
          </a:extLst>
        </xdr:cNvPr>
        <xdr:cNvSpPr>
          <a:spLocks noChangeShapeType="1"/>
        </xdr:cNvSpPr>
      </xdr:nvSpPr>
      <xdr:spPr bwMode="auto">
        <a:xfrm flipV="1">
          <a:off x="6438900" y="75819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219075</xdr:colOff>
      <xdr:row>46</xdr:row>
      <xdr:rowOff>28575</xdr:rowOff>
    </xdr:from>
    <xdr:to>
      <xdr:col>11</xdr:col>
      <xdr:colOff>219075</xdr:colOff>
      <xdr:row>49</xdr:row>
      <xdr:rowOff>152400</xdr:rowOff>
    </xdr:to>
    <xdr:sp macro="" textlink="">
      <xdr:nvSpPr>
        <xdr:cNvPr id="23751" name="Line 71">
          <a:extLst>
            <a:ext uri="{FF2B5EF4-FFF2-40B4-BE49-F238E27FC236}">
              <a16:creationId xmlns:a16="http://schemas.microsoft.com/office/drawing/2014/main" id="{00000000-0008-0000-0500-0000C75C0000}"/>
            </a:ext>
          </a:extLst>
        </xdr:cNvPr>
        <xdr:cNvSpPr>
          <a:spLocks noChangeShapeType="1"/>
        </xdr:cNvSpPr>
      </xdr:nvSpPr>
      <xdr:spPr bwMode="auto">
        <a:xfrm flipV="1">
          <a:off x="7115175" y="7591425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47</xdr:row>
      <xdr:rowOff>66675</xdr:rowOff>
    </xdr:from>
    <xdr:to>
      <xdr:col>11</xdr:col>
      <xdr:colOff>209550</xdr:colOff>
      <xdr:row>47</xdr:row>
      <xdr:rowOff>66675</xdr:rowOff>
    </xdr:to>
    <xdr:sp macro="" textlink="">
      <xdr:nvSpPr>
        <xdr:cNvPr id="23752" name="Line 72">
          <a:extLst>
            <a:ext uri="{FF2B5EF4-FFF2-40B4-BE49-F238E27FC236}">
              <a16:creationId xmlns:a16="http://schemas.microsoft.com/office/drawing/2014/main" id="{00000000-0008-0000-0500-0000C85C0000}"/>
            </a:ext>
          </a:extLst>
        </xdr:cNvPr>
        <xdr:cNvSpPr>
          <a:spLocks noChangeShapeType="1"/>
        </xdr:cNvSpPr>
      </xdr:nvSpPr>
      <xdr:spPr bwMode="auto">
        <a:xfrm>
          <a:off x="6934200" y="77914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47</xdr:row>
      <xdr:rowOff>57150</xdr:rowOff>
    </xdr:from>
    <xdr:to>
      <xdr:col>10</xdr:col>
      <xdr:colOff>381000</xdr:colOff>
      <xdr:row>47</xdr:row>
      <xdr:rowOff>57150</xdr:rowOff>
    </xdr:to>
    <xdr:sp macro="" textlink="">
      <xdr:nvSpPr>
        <xdr:cNvPr id="23753" name="Line 73">
          <a:extLst>
            <a:ext uri="{FF2B5EF4-FFF2-40B4-BE49-F238E27FC236}">
              <a16:creationId xmlns:a16="http://schemas.microsoft.com/office/drawing/2014/main" id="{00000000-0008-0000-0500-0000C95C0000}"/>
            </a:ext>
          </a:extLst>
        </xdr:cNvPr>
        <xdr:cNvSpPr>
          <a:spLocks noChangeShapeType="1"/>
        </xdr:cNvSpPr>
      </xdr:nvSpPr>
      <xdr:spPr bwMode="auto">
        <a:xfrm flipH="1">
          <a:off x="6438900" y="77819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457200</xdr:colOff>
      <xdr:row>53</xdr:row>
      <xdr:rowOff>133350</xdr:rowOff>
    </xdr:from>
    <xdr:to>
      <xdr:col>10</xdr:col>
      <xdr:colOff>542925</xdr:colOff>
      <xdr:row>54</xdr:row>
      <xdr:rowOff>57150</xdr:rowOff>
    </xdr:to>
    <xdr:sp macro="" textlink="">
      <xdr:nvSpPr>
        <xdr:cNvPr id="23754" name="Oval 76">
          <a:extLst>
            <a:ext uri="{FF2B5EF4-FFF2-40B4-BE49-F238E27FC236}">
              <a16:creationId xmlns:a16="http://schemas.microsoft.com/office/drawing/2014/main" id="{00000000-0008-0000-0500-0000CA5C0000}"/>
            </a:ext>
          </a:extLst>
        </xdr:cNvPr>
        <xdr:cNvSpPr>
          <a:spLocks noChangeArrowheads="1"/>
        </xdr:cNvSpPr>
      </xdr:nvSpPr>
      <xdr:spPr bwMode="auto">
        <a:xfrm>
          <a:off x="6743700" y="8867775"/>
          <a:ext cx="85725" cy="952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495300</xdr:colOff>
      <xdr:row>50</xdr:row>
      <xdr:rowOff>85725</xdr:rowOff>
    </xdr:from>
    <xdr:to>
      <xdr:col>10</xdr:col>
      <xdr:colOff>495300</xdr:colOff>
      <xdr:row>53</xdr:row>
      <xdr:rowOff>95250</xdr:rowOff>
    </xdr:to>
    <xdr:sp macro="" textlink="">
      <xdr:nvSpPr>
        <xdr:cNvPr id="23755" name="Line 77">
          <a:extLst>
            <a:ext uri="{FF2B5EF4-FFF2-40B4-BE49-F238E27FC236}">
              <a16:creationId xmlns:a16="http://schemas.microsoft.com/office/drawing/2014/main" id="{00000000-0008-0000-0500-0000CB5C0000}"/>
            </a:ext>
          </a:extLst>
        </xdr:cNvPr>
        <xdr:cNvSpPr>
          <a:spLocks noChangeShapeType="1"/>
        </xdr:cNvSpPr>
      </xdr:nvSpPr>
      <xdr:spPr bwMode="auto">
        <a:xfrm flipV="1">
          <a:off x="6781800" y="83153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114300</xdr:rowOff>
    </xdr:from>
    <xdr:to>
      <xdr:col>3</xdr:col>
      <xdr:colOff>396224</xdr:colOff>
      <xdr:row>55</xdr:row>
      <xdr:rowOff>83885</xdr:rowOff>
    </xdr:to>
    <xdr:sp macro="" textlink="">
      <xdr:nvSpPr>
        <xdr:cNvPr id="5198" name="Text Box 78">
          <a:extLst>
            <a:ext uri="{FF2B5EF4-FFF2-40B4-BE49-F238E27FC236}">
              <a16:creationId xmlns:a16="http://schemas.microsoft.com/office/drawing/2014/main" id="{00000000-0008-0000-0500-00004E140000}"/>
            </a:ext>
          </a:extLst>
        </xdr:cNvPr>
        <xdr:cNvSpPr txBox="1">
          <a:spLocks noChangeArrowheads="1"/>
        </xdr:cNvSpPr>
      </xdr:nvSpPr>
      <xdr:spPr bwMode="auto">
        <a:xfrm>
          <a:off x="609600" y="8658225"/>
          <a:ext cx="160972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Dimensions are in Radius</a:t>
          </a:r>
          <a:endParaRPr lang="en-US"/>
        </a:p>
      </xdr:txBody>
    </xdr:sp>
    <xdr:clientData/>
  </xdr:twoCellAnchor>
  <xdr:twoCellAnchor>
    <xdr:from>
      <xdr:col>10</xdr:col>
      <xdr:colOff>142875</xdr:colOff>
      <xdr:row>50</xdr:row>
      <xdr:rowOff>85725</xdr:rowOff>
    </xdr:from>
    <xdr:to>
      <xdr:col>10</xdr:col>
      <xdr:colOff>447675</xdr:colOff>
      <xdr:row>53</xdr:row>
      <xdr:rowOff>123825</xdr:rowOff>
    </xdr:to>
    <xdr:sp macro="" textlink="">
      <xdr:nvSpPr>
        <xdr:cNvPr id="23757" name="Line 79">
          <a:extLst>
            <a:ext uri="{FF2B5EF4-FFF2-40B4-BE49-F238E27FC236}">
              <a16:creationId xmlns:a16="http://schemas.microsoft.com/office/drawing/2014/main" id="{00000000-0008-0000-0500-0000CD5C0000}"/>
            </a:ext>
          </a:extLst>
        </xdr:cNvPr>
        <xdr:cNvSpPr>
          <a:spLocks noChangeShapeType="1"/>
        </xdr:cNvSpPr>
      </xdr:nvSpPr>
      <xdr:spPr bwMode="auto">
        <a:xfrm flipH="1" flipV="1">
          <a:off x="6429375" y="8315325"/>
          <a:ext cx="3048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8</xdr:row>
      <xdr:rowOff>133350</xdr:rowOff>
    </xdr:from>
    <xdr:to>
      <xdr:col>4</xdr:col>
      <xdr:colOff>476250</xdr:colOff>
      <xdr:row>10</xdr:row>
      <xdr:rowOff>38100</xdr:rowOff>
    </xdr:to>
    <xdr:cxnSp macro="">
      <xdr:nvCxnSpPr>
        <xdr:cNvPr id="18964" name="Straight Connector 7">
          <a:extLst>
            <a:ext uri="{FF2B5EF4-FFF2-40B4-BE49-F238E27FC236}">
              <a16:creationId xmlns:a16="http://schemas.microsoft.com/office/drawing/2014/main" id="{00000000-0008-0000-0600-0000144A0000}"/>
            </a:ext>
          </a:extLst>
        </xdr:cNvPr>
        <xdr:cNvCxnSpPr>
          <a:cxnSpLocks noChangeShapeType="1"/>
          <a:endCxn id="18967" idx="0"/>
        </xdr:cNvCxnSpPr>
      </xdr:nvCxnSpPr>
      <xdr:spPr bwMode="auto">
        <a:xfrm flipV="1">
          <a:off x="5476875" y="1714500"/>
          <a:ext cx="0" cy="24765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142875</xdr:colOff>
      <xdr:row>5</xdr:row>
      <xdr:rowOff>133350</xdr:rowOff>
    </xdr:from>
    <xdr:to>
      <xdr:col>10</xdr:col>
      <xdr:colOff>552450</xdr:colOff>
      <xdr:row>15</xdr:row>
      <xdr:rowOff>142875</xdr:rowOff>
    </xdr:to>
    <xdr:sp macro="" textlink="">
      <xdr:nvSpPr>
        <xdr:cNvPr id="18965" name="Oval 3">
          <a:extLst>
            <a:ext uri="{FF2B5EF4-FFF2-40B4-BE49-F238E27FC236}">
              <a16:creationId xmlns:a16="http://schemas.microsoft.com/office/drawing/2014/main" id="{00000000-0008-0000-0600-0000154A0000}"/>
            </a:ext>
          </a:extLst>
        </xdr:cNvPr>
        <xdr:cNvSpPr>
          <a:spLocks noChangeArrowheads="1"/>
        </xdr:cNvSpPr>
      </xdr:nvSpPr>
      <xdr:spPr bwMode="auto">
        <a:xfrm>
          <a:off x="7581900" y="1200150"/>
          <a:ext cx="1628775" cy="1695450"/>
        </a:xfrm>
        <a:prstGeom prst="ellipse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</xdr:sp>
    <xdr:clientData/>
  </xdr:twoCellAnchor>
  <xdr:twoCellAnchor>
    <xdr:from>
      <xdr:col>9</xdr:col>
      <xdr:colOff>276225</xdr:colOff>
      <xdr:row>10</xdr:row>
      <xdr:rowOff>38100</xdr:rowOff>
    </xdr:from>
    <xdr:to>
      <xdr:col>9</xdr:col>
      <xdr:colOff>447675</xdr:colOff>
      <xdr:row>11</xdr:row>
      <xdr:rowOff>47625</xdr:rowOff>
    </xdr:to>
    <xdr:sp macro="" textlink="">
      <xdr:nvSpPr>
        <xdr:cNvPr id="18966" name="Oval 5">
          <a:extLst>
            <a:ext uri="{FF2B5EF4-FFF2-40B4-BE49-F238E27FC236}">
              <a16:creationId xmlns:a16="http://schemas.microsoft.com/office/drawing/2014/main" id="{00000000-0008-0000-0600-0000164A0000}"/>
            </a:ext>
          </a:extLst>
        </xdr:cNvPr>
        <xdr:cNvSpPr>
          <a:spLocks noChangeArrowheads="1"/>
        </xdr:cNvSpPr>
      </xdr:nvSpPr>
      <xdr:spPr bwMode="auto">
        <a:xfrm>
          <a:off x="8324850" y="1962150"/>
          <a:ext cx="171450" cy="180975"/>
        </a:xfrm>
        <a:prstGeom prst="ellipse">
          <a:avLst/>
        </a:prstGeom>
        <a:solidFill>
          <a:srgbClr val="090000"/>
        </a:solidFill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66675</xdr:colOff>
      <xdr:row>8</xdr:row>
      <xdr:rowOff>133350</xdr:rowOff>
    </xdr:from>
    <xdr:to>
      <xdr:col>5</xdr:col>
      <xdr:colOff>276225</xdr:colOff>
      <xdr:row>13</xdr:row>
      <xdr:rowOff>142875</xdr:rowOff>
    </xdr:to>
    <xdr:sp macro="" textlink="">
      <xdr:nvSpPr>
        <xdr:cNvPr id="18967" name="Oval 2">
          <a:extLst>
            <a:ext uri="{FF2B5EF4-FFF2-40B4-BE49-F238E27FC236}">
              <a16:creationId xmlns:a16="http://schemas.microsoft.com/office/drawing/2014/main" id="{00000000-0008-0000-0600-0000174A0000}"/>
            </a:ext>
          </a:extLst>
        </xdr:cNvPr>
        <xdr:cNvSpPr>
          <a:spLocks noChangeArrowheads="1"/>
        </xdr:cNvSpPr>
      </xdr:nvSpPr>
      <xdr:spPr bwMode="auto">
        <a:xfrm>
          <a:off x="5067300" y="1714500"/>
          <a:ext cx="819150" cy="857250"/>
        </a:xfrm>
        <a:prstGeom prst="ellipse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</xdr:sp>
    <xdr:clientData/>
  </xdr:twoCellAnchor>
  <xdr:twoCellAnchor>
    <xdr:from>
      <xdr:col>4</xdr:col>
      <xdr:colOff>400050</xdr:colOff>
      <xdr:row>10</xdr:row>
      <xdr:rowOff>123825</xdr:rowOff>
    </xdr:from>
    <xdr:to>
      <xdr:col>4</xdr:col>
      <xdr:colOff>571500</xdr:colOff>
      <xdr:row>11</xdr:row>
      <xdr:rowOff>133350</xdr:rowOff>
    </xdr:to>
    <xdr:sp macro="" textlink="">
      <xdr:nvSpPr>
        <xdr:cNvPr id="18968" name="Oval 4">
          <a:extLst>
            <a:ext uri="{FF2B5EF4-FFF2-40B4-BE49-F238E27FC236}">
              <a16:creationId xmlns:a16="http://schemas.microsoft.com/office/drawing/2014/main" id="{00000000-0008-0000-0600-0000184A0000}"/>
            </a:ext>
          </a:extLst>
        </xdr:cNvPr>
        <xdr:cNvSpPr>
          <a:spLocks noChangeArrowheads="1"/>
        </xdr:cNvSpPr>
      </xdr:nvSpPr>
      <xdr:spPr bwMode="auto">
        <a:xfrm>
          <a:off x="5400675" y="2047875"/>
          <a:ext cx="171450" cy="180975"/>
        </a:xfrm>
        <a:prstGeom prst="ellipse">
          <a:avLst/>
        </a:prstGeom>
        <a:solidFill>
          <a:srgbClr val="090000"/>
        </a:solidFill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352425</xdr:colOff>
      <xdr:row>3</xdr:row>
      <xdr:rowOff>104775</xdr:rowOff>
    </xdr:from>
    <xdr:to>
      <xdr:col>9</xdr:col>
      <xdr:colOff>352425</xdr:colOff>
      <xdr:row>9</xdr:row>
      <xdr:rowOff>76200</xdr:rowOff>
    </xdr:to>
    <xdr:cxnSp macro="">
      <xdr:nvCxnSpPr>
        <xdr:cNvPr id="18969" name="Straight Connector 11">
          <a:extLst>
            <a:ext uri="{FF2B5EF4-FFF2-40B4-BE49-F238E27FC236}">
              <a16:creationId xmlns:a16="http://schemas.microsoft.com/office/drawing/2014/main" id="{00000000-0008-0000-0600-0000194A0000}"/>
            </a:ext>
          </a:extLst>
        </xdr:cNvPr>
        <xdr:cNvCxnSpPr>
          <a:cxnSpLocks noChangeShapeType="1"/>
        </xdr:cNvCxnSpPr>
      </xdr:nvCxnSpPr>
      <xdr:spPr bwMode="auto">
        <a:xfrm flipV="1">
          <a:off x="8401050" y="638175"/>
          <a:ext cx="0" cy="1190625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4</xdr:row>
      <xdr:rowOff>133350</xdr:rowOff>
    </xdr:from>
    <xdr:to>
      <xdr:col>4</xdr:col>
      <xdr:colOff>476250</xdr:colOff>
      <xdr:row>10</xdr:row>
      <xdr:rowOff>76200</xdr:rowOff>
    </xdr:to>
    <xdr:cxnSp macro="">
      <xdr:nvCxnSpPr>
        <xdr:cNvPr id="18970" name="Straight Connector 9">
          <a:extLst>
            <a:ext uri="{FF2B5EF4-FFF2-40B4-BE49-F238E27FC236}">
              <a16:creationId xmlns:a16="http://schemas.microsoft.com/office/drawing/2014/main" id="{00000000-0008-0000-0600-00001A4A0000}"/>
            </a:ext>
          </a:extLst>
        </xdr:cNvPr>
        <xdr:cNvCxnSpPr>
          <a:cxnSpLocks noChangeShapeType="1"/>
        </xdr:cNvCxnSpPr>
      </xdr:nvCxnSpPr>
      <xdr:spPr bwMode="auto">
        <a:xfrm flipV="1">
          <a:off x="5476875" y="933450"/>
          <a:ext cx="0" cy="106680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104775</xdr:colOff>
      <xdr:row>8</xdr:row>
      <xdr:rowOff>152400</xdr:rowOff>
    </xdr:from>
    <xdr:to>
      <xdr:col>4</xdr:col>
      <xdr:colOff>142875</xdr:colOff>
      <xdr:row>8</xdr:row>
      <xdr:rowOff>152400</xdr:rowOff>
    </xdr:to>
    <xdr:cxnSp macro="">
      <xdr:nvCxnSpPr>
        <xdr:cNvPr id="18971" name="Straight Connector 17">
          <a:extLst>
            <a:ext uri="{FF2B5EF4-FFF2-40B4-BE49-F238E27FC236}">
              <a16:creationId xmlns:a16="http://schemas.microsoft.com/office/drawing/2014/main" id="{00000000-0008-0000-0600-00001B4A0000}"/>
            </a:ext>
          </a:extLst>
        </xdr:cNvPr>
        <xdr:cNvCxnSpPr>
          <a:cxnSpLocks noChangeShapeType="1"/>
        </xdr:cNvCxnSpPr>
      </xdr:nvCxnSpPr>
      <xdr:spPr bwMode="auto">
        <a:xfrm flipH="1">
          <a:off x="3876675" y="1733550"/>
          <a:ext cx="1266825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123825</xdr:colOff>
      <xdr:row>13</xdr:row>
      <xdr:rowOff>133350</xdr:rowOff>
    </xdr:from>
    <xdr:to>
      <xdr:col>4</xdr:col>
      <xdr:colOff>161925</xdr:colOff>
      <xdr:row>13</xdr:row>
      <xdr:rowOff>133350</xdr:rowOff>
    </xdr:to>
    <xdr:cxnSp macro="">
      <xdr:nvCxnSpPr>
        <xdr:cNvPr id="18972" name="Straight Connector 19">
          <a:extLst>
            <a:ext uri="{FF2B5EF4-FFF2-40B4-BE49-F238E27FC236}">
              <a16:creationId xmlns:a16="http://schemas.microsoft.com/office/drawing/2014/main" id="{00000000-0008-0000-0600-00001C4A0000}"/>
            </a:ext>
          </a:extLst>
        </xdr:cNvPr>
        <xdr:cNvCxnSpPr>
          <a:cxnSpLocks noChangeShapeType="1"/>
        </xdr:cNvCxnSpPr>
      </xdr:nvCxnSpPr>
      <xdr:spPr bwMode="auto">
        <a:xfrm flipH="1">
          <a:off x="3895725" y="2562225"/>
          <a:ext cx="1266825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57150</xdr:colOff>
      <xdr:row>5</xdr:row>
      <xdr:rowOff>133350</xdr:rowOff>
    </xdr:from>
    <xdr:to>
      <xdr:col>12</xdr:col>
      <xdr:colOff>104775</xdr:colOff>
      <xdr:row>5</xdr:row>
      <xdr:rowOff>133350</xdr:rowOff>
    </xdr:to>
    <xdr:cxnSp macro="">
      <xdr:nvCxnSpPr>
        <xdr:cNvPr id="18973" name="Straight Connector 20">
          <a:extLst>
            <a:ext uri="{FF2B5EF4-FFF2-40B4-BE49-F238E27FC236}">
              <a16:creationId xmlns:a16="http://schemas.microsoft.com/office/drawing/2014/main" id="{00000000-0008-0000-0600-00001D4A0000}"/>
            </a:ext>
          </a:extLst>
        </xdr:cNvPr>
        <xdr:cNvCxnSpPr>
          <a:cxnSpLocks noChangeShapeType="1"/>
        </xdr:cNvCxnSpPr>
      </xdr:nvCxnSpPr>
      <xdr:spPr bwMode="auto">
        <a:xfrm flipH="1">
          <a:off x="8715375" y="1200150"/>
          <a:ext cx="1266825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76200</xdr:colOff>
      <xdr:row>15</xdr:row>
      <xdr:rowOff>142875</xdr:rowOff>
    </xdr:from>
    <xdr:to>
      <xdr:col>12</xdr:col>
      <xdr:colOff>123825</xdr:colOff>
      <xdr:row>15</xdr:row>
      <xdr:rowOff>142875</xdr:rowOff>
    </xdr:to>
    <xdr:cxnSp macro="">
      <xdr:nvCxnSpPr>
        <xdr:cNvPr id="18974" name="Straight Connector 21">
          <a:extLst>
            <a:ext uri="{FF2B5EF4-FFF2-40B4-BE49-F238E27FC236}">
              <a16:creationId xmlns:a16="http://schemas.microsoft.com/office/drawing/2014/main" id="{00000000-0008-0000-0600-00001E4A0000}"/>
            </a:ext>
          </a:extLst>
        </xdr:cNvPr>
        <xdr:cNvCxnSpPr>
          <a:cxnSpLocks noChangeShapeType="1"/>
        </xdr:cNvCxnSpPr>
      </xdr:nvCxnSpPr>
      <xdr:spPr bwMode="auto">
        <a:xfrm flipH="1">
          <a:off x="8734425" y="2895600"/>
          <a:ext cx="1266825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6</xdr:row>
      <xdr:rowOff>28575</xdr:rowOff>
    </xdr:from>
    <xdr:to>
      <xdr:col>8</xdr:col>
      <xdr:colOff>571500</xdr:colOff>
      <xdr:row>8</xdr:row>
      <xdr:rowOff>133350</xdr:rowOff>
    </xdr:to>
    <xdr:cxnSp macro="">
      <xdr:nvCxnSpPr>
        <xdr:cNvPr id="18975" name="Straight Connector 23">
          <a:extLst>
            <a:ext uri="{FF2B5EF4-FFF2-40B4-BE49-F238E27FC236}">
              <a16:creationId xmlns:a16="http://schemas.microsoft.com/office/drawing/2014/main" id="{00000000-0008-0000-0600-00001F4A0000}"/>
            </a:ext>
          </a:extLst>
        </xdr:cNvPr>
        <xdr:cNvCxnSpPr>
          <a:cxnSpLocks noChangeShapeType="1"/>
          <a:stCxn id="18967" idx="0"/>
        </xdr:cNvCxnSpPr>
      </xdr:nvCxnSpPr>
      <xdr:spPr bwMode="auto">
        <a:xfrm flipV="1">
          <a:off x="5476875" y="1266825"/>
          <a:ext cx="2533650" cy="447675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13</xdr:row>
      <xdr:rowOff>142875</xdr:rowOff>
    </xdr:from>
    <xdr:to>
      <xdr:col>8</xdr:col>
      <xdr:colOff>600075</xdr:colOff>
      <xdr:row>15</xdr:row>
      <xdr:rowOff>104775</xdr:rowOff>
    </xdr:to>
    <xdr:cxnSp macro="">
      <xdr:nvCxnSpPr>
        <xdr:cNvPr id="18976" name="Straight Connector 25">
          <a:extLst>
            <a:ext uri="{FF2B5EF4-FFF2-40B4-BE49-F238E27FC236}">
              <a16:creationId xmlns:a16="http://schemas.microsoft.com/office/drawing/2014/main" id="{00000000-0008-0000-0600-0000204A0000}"/>
            </a:ext>
          </a:extLst>
        </xdr:cNvPr>
        <xdr:cNvCxnSpPr>
          <a:cxnSpLocks noChangeShapeType="1"/>
          <a:stCxn id="18967" idx="4"/>
        </xdr:cNvCxnSpPr>
      </xdr:nvCxnSpPr>
      <xdr:spPr bwMode="auto">
        <a:xfrm>
          <a:off x="5476875" y="2571750"/>
          <a:ext cx="2562225" cy="28575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295275</xdr:colOff>
      <xdr:row>5</xdr:row>
      <xdr:rowOff>133350</xdr:rowOff>
    </xdr:from>
    <xdr:to>
      <xdr:col>11</xdr:col>
      <xdr:colOff>295275</xdr:colOff>
      <xdr:row>9</xdr:row>
      <xdr:rowOff>57150</xdr:rowOff>
    </xdr:to>
    <xdr:cxnSp macro="">
      <xdr:nvCxnSpPr>
        <xdr:cNvPr id="18977" name="Straight Arrow Connector 27">
          <a:extLst>
            <a:ext uri="{FF2B5EF4-FFF2-40B4-BE49-F238E27FC236}">
              <a16:creationId xmlns:a16="http://schemas.microsoft.com/office/drawing/2014/main" id="{00000000-0008-0000-0600-0000214A0000}"/>
            </a:ext>
          </a:extLst>
        </xdr:cNvPr>
        <xdr:cNvCxnSpPr>
          <a:cxnSpLocks noChangeShapeType="1"/>
        </xdr:cNvCxnSpPr>
      </xdr:nvCxnSpPr>
      <xdr:spPr bwMode="auto">
        <a:xfrm>
          <a:off x="9563100" y="1200150"/>
          <a:ext cx="0" cy="6096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285750</xdr:colOff>
      <xdr:row>11</xdr:row>
      <xdr:rowOff>114300</xdr:rowOff>
    </xdr:from>
    <xdr:to>
      <xdr:col>11</xdr:col>
      <xdr:colOff>285750</xdr:colOff>
      <xdr:row>15</xdr:row>
      <xdr:rowOff>142875</xdr:rowOff>
    </xdr:to>
    <xdr:cxnSp macro="">
      <xdr:nvCxnSpPr>
        <xdr:cNvPr id="18978" name="Straight Arrow Connector 29">
          <a:extLst>
            <a:ext uri="{FF2B5EF4-FFF2-40B4-BE49-F238E27FC236}">
              <a16:creationId xmlns:a16="http://schemas.microsoft.com/office/drawing/2014/main" id="{00000000-0008-0000-0600-0000224A0000}"/>
            </a:ext>
          </a:extLst>
        </xdr:cNvPr>
        <xdr:cNvCxnSpPr>
          <a:cxnSpLocks noChangeShapeType="1"/>
        </xdr:cNvCxnSpPr>
      </xdr:nvCxnSpPr>
      <xdr:spPr bwMode="auto">
        <a:xfrm flipV="1">
          <a:off x="9553575" y="2209800"/>
          <a:ext cx="0" cy="6858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609600</xdr:colOff>
      <xdr:row>9</xdr:row>
      <xdr:rowOff>0</xdr:rowOff>
    </xdr:from>
    <xdr:to>
      <xdr:col>2</xdr:col>
      <xdr:colOff>609600</xdr:colOff>
      <xdr:row>10</xdr:row>
      <xdr:rowOff>133350</xdr:rowOff>
    </xdr:to>
    <xdr:cxnSp macro="">
      <xdr:nvCxnSpPr>
        <xdr:cNvPr id="18979" name="Straight Arrow Connector 31">
          <a:extLst>
            <a:ext uri="{FF2B5EF4-FFF2-40B4-BE49-F238E27FC236}">
              <a16:creationId xmlns:a16="http://schemas.microsoft.com/office/drawing/2014/main" id="{00000000-0008-0000-0600-0000234A0000}"/>
            </a:ext>
          </a:extLst>
        </xdr:cNvPr>
        <xdr:cNvCxnSpPr>
          <a:cxnSpLocks noChangeShapeType="1"/>
        </xdr:cNvCxnSpPr>
      </xdr:nvCxnSpPr>
      <xdr:spPr bwMode="auto">
        <a:xfrm>
          <a:off x="4381500" y="1752600"/>
          <a:ext cx="0" cy="3048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0</xdr:colOff>
      <xdr:row>13</xdr:row>
      <xdr:rowOff>133350</xdr:rowOff>
    </xdr:to>
    <xdr:cxnSp macro="">
      <xdr:nvCxnSpPr>
        <xdr:cNvPr id="18980" name="Straight Arrow Connector 33">
          <a:extLst>
            <a:ext uri="{FF2B5EF4-FFF2-40B4-BE49-F238E27FC236}">
              <a16:creationId xmlns:a16="http://schemas.microsoft.com/office/drawing/2014/main" id="{00000000-0008-0000-0600-0000244A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4391025" y="2343150"/>
          <a:ext cx="0" cy="21907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123825</xdr:colOff>
      <xdr:row>5</xdr:row>
      <xdr:rowOff>0</xdr:rowOff>
    </xdr:from>
    <xdr:to>
      <xdr:col>9</xdr:col>
      <xdr:colOff>342900</xdr:colOff>
      <xdr:row>5</xdr:row>
      <xdr:rowOff>9525</xdr:rowOff>
    </xdr:to>
    <xdr:cxnSp macro="">
      <xdr:nvCxnSpPr>
        <xdr:cNvPr id="18981" name="Straight Arrow Connector 39">
          <a:extLst>
            <a:ext uri="{FF2B5EF4-FFF2-40B4-BE49-F238E27FC236}">
              <a16:creationId xmlns:a16="http://schemas.microsoft.com/office/drawing/2014/main" id="{00000000-0008-0000-0600-0000254A0000}"/>
            </a:ext>
          </a:extLst>
        </xdr:cNvPr>
        <xdr:cNvCxnSpPr>
          <a:cxnSpLocks noChangeShapeType="1"/>
        </xdr:cNvCxnSpPr>
      </xdr:nvCxnSpPr>
      <xdr:spPr bwMode="auto">
        <a:xfrm flipH="1">
          <a:off x="6953250" y="1066800"/>
          <a:ext cx="1438275" cy="95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5</xdr:row>
      <xdr:rowOff>0</xdr:rowOff>
    </xdr:from>
    <xdr:to>
      <xdr:col>6</xdr:col>
      <xdr:colOff>247650</xdr:colOff>
      <xdr:row>5</xdr:row>
      <xdr:rowOff>0</xdr:rowOff>
    </xdr:to>
    <xdr:cxnSp macro="">
      <xdr:nvCxnSpPr>
        <xdr:cNvPr id="18982" name="Straight Arrow Connector 41">
          <a:extLst>
            <a:ext uri="{FF2B5EF4-FFF2-40B4-BE49-F238E27FC236}">
              <a16:creationId xmlns:a16="http://schemas.microsoft.com/office/drawing/2014/main" id="{00000000-0008-0000-0600-0000264A0000}"/>
            </a:ext>
          </a:extLst>
        </xdr:cNvPr>
        <xdr:cNvCxnSpPr>
          <a:cxnSpLocks noChangeShapeType="1"/>
        </xdr:cNvCxnSpPr>
      </xdr:nvCxnSpPr>
      <xdr:spPr bwMode="auto">
        <a:xfrm>
          <a:off x="5476875" y="1066800"/>
          <a:ext cx="990600" cy="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7"/>
  <sheetViews>
    <sheetView workbookViewId="0">
      <selection activeCell="D18" sqref="D18:E20"/>
    </sheetView>
  </sheetViews>
  <sheetFormatPr defaultRowHeight="12.75" x14ac:dyDescent="0.2"/>
  <cols>
    <col min="2" max="2" width="9.5703125" bestFit="1" customWidth="1"/>
    <col min="3" max="3" width="13.5703125" customWidth="1"/>
    <col min="5" max="5" width="11.140625" customWidth="1"/>
    <col min="7" max="7" width="1.85546875" customWidth="1"/>
    <col min="10" max="10" width="13.28515625" customWidth="1"/>
    <col min="12" max="12" width="10.425781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253" t="s">
        <v>18</v>
      </c>
      <c r="C2" s="254"/>
      <c r="D2" s="254"/>
      <c r="E2" s="254"/>
      <c r="F2" s="254"/>
      <c r="G2" s="254"/>
      <c r="H2" s="254"/>
      <c r="I2" s="254"/>
      <c r="J2" s="1"/>
      <c r="K2" s="1"/>
      <c r="L2" s="1"/>
    </row>
    <row r="3" spans="1:12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 x14ac:dyDescent="0.25">
      <c r="A4" s="6"/>
      <c r="B4" s="7"/>
      <c r="C4" s="7"/>
      <c r="D4" s="7" t="s">
        <v>123</v>
      </c>
      <c r="E4" s="7"/>
      <c r="F4" s="7"/>
      <c r="G4" s="8"/>
      <c r="H4" s="6"/>
      <c r="I4" s="7"/>
      <c r="J4" s="232" t="s">
        <v>120</v>
      </c>
      <c r="K4" s="7"/>
      <c r="L4" s="8"/>
    </row>
    <row r="5" spans="1:12" ht="13.5" thickBot="1" x14ac:dyDescent="0.25">
      <c r="A5" s="9"/>
      <c r="B5" s="2" t="s">
        <v>9</v>
      </c>
      <c r="C5" s="234">
        <f>DEGREES(ASIN(B18))</f>
        <v>14.999746183298514</v>
      </c>
      <c r="E5" s="3"/>
      <c r="F5" s="3"/>
      <c r="G5" s="10"/>
      <c r="H5" s="9"/>
      <c r="I5" s="3"/>
      <c r="J5" s="3"/>
      <c r="K5" s="3"/>
      <c r="L5" s="10"/>
    </row>
    <row r="6" spans="1:12" x14ac:dyDescent="0.2">
      <c r="A6" s="9"/>
      <c r="B6" s="3"/>
      <c r="C6" s="3"/>
      <c r="D6" s="3"/>
      <c r="E6" s="3"/>
      <c r="F6" s="3"/>
      <c r="G6" s="10"/>
      <c r="H6" s="9"/>
      <c r="I6" s="3"/>
      <c r="J6" s="3"/>
      <c r="K6" s="227" t="s">
        <v>119</v>
      </c>
      <c r="L6" s="231">
        <f>90-$L$7</f>
        <v>75</v>
      </c>
    </row>
    <row r="7" spans="1:12" x14ac:dyDescent="0.2">
      <c r="A7" s="9"/>
      <c r="B7" s="3"/>
      <c r="C7" s="3"/>
      <c r="D7" s="3"/>
      <c r="E7" s="220" t="s">
        <v>0</v>
      </c>
      <c r="F7" s="3"/>
      <c r="G7" s="10"/>
      <c r="H7" s="9"/>
      <c r="I7" s="3"/>
      <c r="J7" s="3"/>
      <c r="K7" s="227" t="s">
        <v>118</v>
      </c>
      <c r="L7" s="229">
        <v>15</v>
      </c>
    </row>
    <row r="8" spans="1:12" x14ac:dyDescent="0.2">
      <c r="A8" s="9"/>
      <c r="B8" s="3"/>
      <c r="C8" s="3"/>
      <c r="D8" s="2"/>
      <c r="E8" s="5"/>
      <c r="F8" s="3"/>
      <c r="G8" s="10"/>
      <c r="H8" s="9"/>
      <c r="I8" s="3"/>
      <c r="J8" s="13"/>
      <c r="K8" s="2" t="s">
        <v>5</v>
      </c>
      <c r="L8" s="223"/>
    </row>
    <row r="9" spans="1:12" x14ac:dyDescent="0.2">
      <c r="A9" s="11" t="s">
        <v>2</v>
      </c>
      <c r="B9" s="5">
        <v>18</v>
      </c>
      <c r="C9" s="3"/>
      <c r="D9" s="3"/>
      <c r="E9" s="3"/>
      <c r="F9" s="3"/>
      <c r="G9" s="10"/>
      <c r="H9" s="9"/>
      <c r="I9" s="3"/>
      <c r="J9" s="3"/>
      <c r="K9" s="2" t="s">
        <v>4</v>
      </c>
      <c r="L9" s="223">
        <v>7.86</v>
      </c>
    </row>
    <row r="10" spans="1:12" ht="13.5" thickBot="1" x14ac:dyDescent="0.25">
      <c r="A10" s="9"/>
      <c r="B10" s="3"/>
      <c r="C10" s="3"/>
      <c r="D10" s="3"/>
      <c r="E10" s="3"/>
      <c r="F10" s="3"/>
      <c r="G10" s="10"/>
      <c r="H10" s="9"/>
      <c r="I10" s="3"/>
      <c r="J10" s="3"/>
      <c r="K10" s="2" t="s">
        <v>7</v>
      </c>
      <c r="L10" s="223"/>
    </row>
    <row r="11" spans="1:12" ht="13.5" thickBot="1" x14ac:dyDescent="0.25">
      <c r="A11" s="9"/>
      <c r="B11" s="3"/>
      <c r="C11" s="3"/>
      <c r="D11" s="3"/>
      <c r="E11" s="2" t="s">
        <v>10</v>
      </c>
      <c r="F11" s="235">
        <f>90-$C$5</f>
        <v>75.000253816701488</v>
      </c>
      <c r="G11" s="10"/>
      <c r="H11" s="9"/>
      <c r="I11" s="3"/>
      <c r="J11" s="3"/>
      <c r="K11" s="3"/>
      <c r="L11" s="10"/>
    </row>
    <row r="12" spans="1:12" x14ac:dyDescent="0.2">
      <c r="A12" s="9"/>
      <c r="B12" s="3"/>
      <c r="C12" s="3"/>
      <c r="D12" s="3"/>
      <c r="E12" s="3"/>
      <c r="F12" s="3"/>
      <c r="G12" s="10"/>
      <c r="H12" s="9"/>
      <c r="I12" s="3"/>
      <c r="J12" s="3"/>
      <c r="K12" s="3"/>
      <c r="L12" s="10"/>
    </row>
    <row r="13" spans="1:12" ht="13.5" thickBot="1" x14ac:dyDescent="0.25">
      <c r="A13" s="9"/>
      <c r="B13" s="3"/>
      <c r="C13" s="34" t="s">
        <v>19</v>
      </c>
      <c r="D13" s="221"/>
      <c r="E13" s="221"/>
      <c r="G13" s="10"/>
      <c r="H13" s="9"/>
      <c r="I13" s="3"/>
      <c r="J13" s="3"/>
      <c r="K13" s="3"/>
      <c r="L13" s="10"/>
    </row>
    <row r="14" spans="1:12" ht="13.5" thickBot="1" x14ac:dyDescent="0.25">
      <c r="A14" s="11" t="s">
        <v>4</v>
      </c>
      <c r="B14" s="236">
        <f>IF($E$14=0,(SIN(ACOS($B$9/$B$15)))*$B$15,$E$14)</f>
        <v>4.8230000000000004</v>
      </c>
      <c r="C14" s="237">
        <f>$B$14</f>
        <v>4.8230000000000004</v>
      </c>
      <c r="D14" s="2" t="s">
        <v>1</v>
      </c>
      <c r="E14" s="5">
        <v>4.8230000000000004</v>
      </c>
      <c r="F14" s="3"/>
      <c r="G14" s="10"/>
      <c r="H14" s="9"/>
      <c r="I14" s="13"/>
      <c r="J14" s="13"/>
      <c r="K14" s="222"/>
      <c r="L14" s="233"/>
    </row>
    <row r="15" spans="1:12" ht="13.5" thickBot="1" x14ac:dyDescent="0.25">
      <c r="A15" s="11" t="s">
        <v>5</v>
      </c>
      <c r="B15" s="238">
        <f>IF($E$8=0,$B$14/(SIN(ATAN($B$14/$B$9))),$E$8)</f>
        <v>18.634949127915533</v>
      </c>
      <c r="C15" s="237">
        <f>$B$15</f>
        <v>18.634949127915533</v>
      </c>
      <c r="D15" s="221"/>
      <c r="E15" s="221"/>
      <c r="F15" s="3"/>
      <c r="G15" s="10"/>
      <c r="H15" s="9"/>
      <c r="I15" s="3"/>
      <c r="J15" s="222"/>
      <c r="K15" s="222"/>
      <c r="L15" s="10"/>
    </row>
    <row r="16" spans="1:12" ht="13.5" thickBot="1" x14ac:dyDescent="0.25">
      <c r="A16" s="11" t="s">
        <v>7</v>
      </c>
      <c r="B16" s="238">
        <f>IF($B$9=0,$B$14/(TAN(ASIN($B$14/$B$15))),$B$9)</f>
        <v>18</v>
      </c>
      <c r="C16" s="239">
        <f>$B$16</f>
        <v>18</v>
      </c>
      <c r="D16" s="3"/>
      <c r="E16" s="3"/>
      <c r="F16" s="3"/>
      <c r="G16" s="10"/>
      <c r="H16" s="224"/>
      <c r="I16" s="222"/>
      <c r="J16" s="34" t="s">
        <v>19</v>
      </c>
      <c r="K16" s="3"/>
      <c r="L16" s="10"/>
    </row>
    <row r="17" spans="1:13" ht="13.5" thickBot="1" x14ac:dyDescent="0.25">
      <c r="A17" s="12"/>
      <c r="B17" s="13"/>
      <c r="C17" s="3"/>
      <c r="E17" s="3"/>
      <c r="F17" s="3"/>
      <c r="G17" s="10"/>
      <c r="H17" s="11" t="s">
        <v>7</v>
      </c>
      <c r="I17" s="240">
        <f>IF($L$10&lt;&gt;0,$L$10,IF($L$9&lt;&gt;0,$L$9/(TAN(RADIANS($L$7))),COS(RADIANS($L$7))*$L$8))</f>
        <v>29.333919347491378</v>
      </c>
      <c r="J17" s="237">
        <f>$I$17</f>
        <v>29.333919347491378</v>
      </c>
      <c r="K17" s="3"/>
      <c r="L17" s="10"/>
    </row>
    <row r="18" spans="1:13" ht="13.5" thickBot="1" x14ac:dyDescent="0.25">
      <c r="A18" s="11" t="s">
        <v>3</v>
      </c>
      <c r="B18" s="240">
        <f>B14/B15</f>
        <v>0.25881476610929127</v>
      </c>
      <c r="C18" s="3"/>
      <c r="D18" s="247" t="s">
        <v>17</v>
      </c>
      <c r="E18" s="248"/>
      <c r="F18" s="3"/>
      <c r="G18" s="10"/>
      <c r="H18" s="11" t="s">
        <v>4</v>
      </c>
      <c r="I18" s="132">
        <f>IF($L$9&lt;&gt;0,$L$9,IF($L$10&lt;&gt;0,$L$10*(TAN(RADIANS($L$7))),SIN(RADIANS($L$7))*$L$8))</f>
        <v>7.86</v>
      </c>
      <c r="J18" s="237">
        <f>$I$18</f>
        <v>7.86</v>
      </c>
      <c r="K18" s="3"/>
      <c r="L18" s="10"/>
    </row>
    <row r="19" spans="1:13" ht="13.5" thickBot="1" x14ac:dyDescent="0.25">
      <c r="A19" s="11" t="s">
        <v>6</v>
      </c>
      <c r="B19" s="240">
        <f>B16/B15</f>
        <v>0.96592697283169038</v>
      </c>
      <c r="C19" s="3"/>
      <c r="D19" s="249"/>
      <c r="E19" s="250"/>
      <c r="F19" s="3"/>
      <c r="G19" s="10"/>
      <c r="H19" s="11" t="s">
        <v>5</v>
      </c>
      <c r="I19" s="122">
        <f>IF($L$8&lt;&gt;0,$L$8,IF($L$9&lt;&gt;0,$L$9/(SIN(RADIANS($L$7))),$L$10 / COS(RADIANS($L$7))))</f>
        <v>30.36870797852831</v>
      </c>
      <c r="J19" s="239">
        <f>$I$19</f>
        <v>30.36870797852831</v>
      </c>
      <c r="K19" s="3"/>
      <c r="L19" s="10"/>
    </row>
    <row r="20" spans="1:13" ht="13.5" thickBot="1" x14ac:dyDescent="0.25">
      <c r="A20" s="11" t="s">
        <v>8</v>
      </c>
      <c r="B20" s="241">
        <f>B14/B16</f>
        <v>0.26794444444444449</v>
      </c>
      <c r="C20" s="3"/>
      <c r="D20" s="251"/>
      <c r="E20" s="252"/>
      <c r="F20" s="3"/>
      <c r="G20" s="10"/>
      <c r="H20" s="9"/>
      <c r="I20" s="3"/>
      <c r="J20" s="3"/>
      <c r="K20" s="3"/>
      <c r="L20" s="10"/>
    </row>
    <row r="21" spans="1:13" ht="13.5" thickBot="1" x14ac:dyDescent="0.25">
      <c r="A21" s="9"/>
      <c r="B21" s="3"/>
      <c r="D21" s="1"/>
      <c r="E21" s="38"/>
      <c r="F21" s="3"/>
      <c r="G21" s="10"/>
      <c r="H21" s="14"/>
      <c r="I21" s="228" t="str">
        <f>CONCATENATE("90 - ",L6,        "=",  90-L6)</f>
        <v>90 - 75=15</v>
      </c>
      <c r="J21" s="226"/>
      <c r="K21" s="230"/>
      <c r="L21" s="225"/>
    </row>
    <row r="22" spans="1:13" x14ac:dyDescent="0.2">
      <c r="A22" s="199" t="s">
        <v>95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5"/>
      <c r="L22" s="196"/>
      <c r="M22" s="28"/>
    </row>
    <row r="23" spans="1:13" ht="12.75" customHeight="1" x14ac:dyDescent="0.2">
      <c r="A23" s="189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6"/>
    </row>
    <row r="24" spans="1:13" x14ac:dyDescent="0.2">
      <c r="A24" s="189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6"/>
    </row>
    <row r="25" spans="1:13" x14ac:dyDescent="0.2">
      <c r="A25" s="197"/>
      <c r="B25" s="193"/>
      <c r="C25" s="184"/>
      <c r="D25" s="184"/>
      <c r="E25" s="184"/>
      <c r="F25" s="184"/>
      <c r="G25" s="184"/>
      <c r="H25" s="184"/>
      <c r="I25" s="185">
        <v>3.6230000000000002</v>
      </c>
      <c r="J25" s="184"/>
      <c r="K25" s="184"/>
      <c r="L25" s="186"/>
    </row>
    <row r="26" spans="1:13" x14ac:dyDescent="0.2">
      <c r="A26" s="197"/>
      <c r="B26" s="193"/>
      <c r="C26" s="184"/>
      <c r="D26" s="187"/>
      <c r="E26" s="188"/>
      <c r="F26" s="185"/>
      <c r="G26" s="184"/>
      <c r="H26" s="184">
        <v>0.871</v>
      </c>
      <c r="I26" s="185">
        <f>H26+I25</f>
        <v>4.4939999999999998</v>
      </c>
      <c r="J26" s="185">
        <f>I26+I19</f>
        <v>34.862707978528306</v>
      </c>
      <c r="K26" s="184"/>
      <c r="L26" s="186"/>
    </row>
    <row r="27" spans="1:13" x14ac:dyDescent="0.2">
      <c r="A27" s="189"/>
      <c r="B27" s="194" t="s">
        <v>121</v>
      </c>
      <c r="C27" s="184">
        <f>B14/B15</f>
        <v>0.25881476610929127</v>
      </c>
      <c r="D27" s="184"/>
      <c r="E27" s="184"/>
      <c r="F27" s="184"/>
      <c r="G27" s="184"/>
      <c r="H27" s="184">
        <v>37.270000000000003</v>
      </c>
      <c r="I27" s="184"/>
      <c r="J27" s="185">
        <f>14-I26+I18</f>
        <v>17.366</v>
      </c>
      <c r="K27" s="184"/>
      <c r="L27" s="186"/>
    </row>
    <row r="28" spans="1:13" x14ac:dyDescent="0.2">
      <c r="A28" s="189"/>
      <c r="B28" s="184" t="s">
        <v>122</v>
      </c>
      <c r="C28" s="184">
        <f>DEGREES(ASIN(C27))</f>
        <v>14.999746183298514</v>
      </c>
      <c r="D28" s="184"/>
      <c r="E28" s="184">
        <f>DEGREES(ASIN(I18/I19))</f>
        <v>14.999999999999998</v>
      </c>
      <c r="F28" s="184"/>
      <c r="G28" s="184"/>
      <c r="H28" s="184"/>
      <c r="I28" s="184"/>
      <c r="J28" s="188">
        <f>I18+J27</f>
        <v>25.225999999999999</v>
      </c>
      <c r="K28" s="184"/>
      <c r="L28" s="186"/>
    </row>
    <row r="29" spans="1:13" x14ac:dyDescent="0.2">
      <c r="A29" s="189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6"/>
    </row>
    <row r="30" spans="1:13" x14ac:dyDescent="0.2">
      <c r="A30" s="189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6"/>
    </row>
    <row r="31" spans="1:13" x14ac:dyDescent="0.2">
      <c r="A31" s="189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6"/>
    </row>
    <row r="32" spans="1:13" x14ac:dyDescent="0.2">
      <c r="A32" s="189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6"/>
    </row>
    <row r="33" spans="1:12" x14ac:dyDescent="0.2">
      <c r="A33" s="189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6"/>
    </row>
    <row r="34" spans="1:12" x14ac:dyDescent="0.2">
      <c r="A34" s="189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6"/>
    </row>
    <row r="35" spans="1:12" ht="13.5" thickBot="1" x14ac:dyDescent="0.25">
      <c r="A35" s="189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6"/>
    </row>
    <row r="36" spans="1:12" ht="13.5" thickBot="1" x14ac:dyDescent="0.25">
      <c r="A36" s="189"/>
      <c r="B36" s="184"/>
      <c r="C36" s="184"/>
      <c r="D36" s="242"/>
      <c r="E36" s="184"/>
      <c r="F36" s="184"/>
      <c r="G36" s="184"/>
      <c r="H36" s="184"/>
      <c r="I36" s="243">
        <f>I19</f>
        <v>30.36870797852831</v>
      </c>
      <c r="J36" s="184"/>
      <c r="K36" s="184"/>
      <c r="L36" s="186"/>
    </row>
    <row r="37" spans="1:12" x14ac:dyDescent="0.2">
      <c r="A37" s="189"/>
      <c r="B37" s="184"/>
      <c r="C37" s="184"/>
      <c r="E37" s="184"/>
      <c r="F37" s="184"/>
      <c r="G37" s="184"/>
      <c r="H37" s="184"/>
      <c r="I37" s="184"/>
      <c r="J37" s="184"/>
      <c r="K37" s="184"/>
      <c r="L37" s="186"/>
    </row>
    <row r="38" spans="1:12" x14ac:dyDescent="0.2">
      <c r="A38" s="189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6"/>
    </row>
    <row r="39" spans="1:12" x14ac:dyDescent="0.2">
      <c r="A39" s="189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6"/>
    </row>
    <row r="40" spans="1:12" x14ac:dyDescent="0.2">
      <c r="A40" s="189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6"/>
    </row>
    <row r="41" spans="1:12" ht="13.5" thickBot="1" x14ac:dyDescent="0.25">
      <c r="A41" s="189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6"/>
    </row>
    <row r="42" spans="1:12" ht="13.5" thickBot="1" x14ac:dyDescent="0.25">
      <c r="A42" s="189"/>
      <c r="B42" s="184"/>
      <c r="C42" s="184"/>
      <c r="D42" s="184"/>
      <c r="E42" s="184"/>
      <c r="F42" s="242"/>
      <c r="G42" s="184"/>
      <c r="H42" s="184"/>
      <c r="I42" s="184"/>
      <c r="J42" s="184"/>
      <c r="K42" s="184"/>
      <c r="L42" s="186"/>
    </row>
    <row r="43" spans="1:12" x14ac:dyDescent="0.2">
      <c r="A43" s="189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6"/>
    </row>
    <row r="44" spans="1:12" x14ac:dyDescent="0.2">
      <c r="A44" s="18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6"/>
    </row>
    <row r="45" spans="1:12" x14ac:dyDescent="0.2">
      <c r="A45" s="189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6"/>
    </row>
    <row r="46" spans="1:12" x14ac:dyDescent="0.2">
      <c r="A46" s="189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6"/>
    </row>
    <row r="47" spans="1:12" x14ac:dyDescent="0.2">
      <c r="A47" s="189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6"/>
    </row>
    <row r="48" spans="1:12" x14ac:dyDescent="0.2">
      <c r="A48" s="189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6"/>
    </row>
    <row r="49" spans="1:12" x14ac:dyDescent="0.2">
      <c r="A49" s="189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6"/>
    </row>
    <row r="50" spans="1:12" x14ac:dyDescent="0.2">
      <c r="A50" s="189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6"/>
    </row>
    <row r="51" spans="1:12" x14ac:dyDescent="0.2">
      <c r="A51" s="189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6"/>
    </row>
    <row r="52" spans="1:12" x14ac:dyDescent="0.2">
      <c r="A52" s="189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6"/>
    </row>
    <row r="53" spans="1:12" x14ac:dyDescent="0.2">
      <c r="A53" s="189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6"/>
    </row>
    <row r="54" spans="1:12" x14ac:dyDescent="0.2">
      <c r="A54" s="189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6"/>
    </row>
    <row r="55" spans="1:12" x14ac:dyDescent="0.2">
      <c r="A55" s="189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6"/>
    </row>
    <row r="56" spans="1:12" x14ac:dyDescent="0.2">
      <c r="A56" s="189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6"/>
    </row>
    <row r="57" spans="1:12" ht="13.5" thickBot="1" x14ac:dyDescent="0.25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2"/>
    </row>
  </sheetData>
  <sheetProtection sheet="1" objects="1"/>
  <mergeCells count="2">
    <mergeCell ref="D18:E20"/>
    <mergeCell ref="B2:I2"/>
  </mergeCells>
  <phoneticPr fontId="6" type="noConversion"/>
  <dataValidations count="1">
    <dataValidation operator="greaterThan" allowBlank="1" showInputMessage="1" sqref="E8" xr:uid="{00000000-0002-0000-0000-000000000000}"/>
  </dataValidations>
  <pageMargins left="0.75" right="0.75" top="1" bottom="1" header="0.5" footer="0.5"/>
  <pageSetup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67"/>
  <sheetViews>
    <sheetView topLeftCell="A39" workbookViewId="0">
      <selection activeCell="G40" sqref="G40"/>
    </sheetView>
  </sheetViews>
  <sheetFormatPr defaultRowHeight="12.75" x14ac:dyDescent="0.2"/>
  <cols>
    <col min="3" max="3" width="9.42578125" customWidth="1"/>
    <col min="4" max="4" width="6.5703125" customWidth="1"/>
    <col min="5" max="5" width="20.7109375" customWidth="1"/>
    <col min="6" max="6" width="14.5703125" customWidth="1"/>
    <col min="7" max="7" width="12.28515625" customWidth="1"/>
  </cols>
  <sheetData>
    <row r="1" spans="1:8" x14ac:dyDescent="0.2">
      <c r="A1" s="6"/>
      <c r="B1" s="7"/>
      <c r="C1" s="7"/>
      <c r="D1" s="255" t="s">
        <v>16</v>
      </c>
      <c r="E1" s="255"/>
      <c r="F1" s="255"/>
      <c r="G1" s="7"/>
      <c r="H1" s="8"/>
    </row>
    <row r="2" spans="1:8" x14ac:dyDescent="0.2">
      <c r="A2" s="9"/>
      <c r="B2" s="3"/>
      <c r="C2" s="3"/>
      <c r="D2" s="256"/>
      <c r="E2" s="256"/>
      <c r="F2" s="256"/>
      <c r="G2" s="3"/>
      <c r="H2" s="10"/>
    </row>
    <row r="3" spans="1:8" x14ac:dyDescent="0.2">
      <c r="A3" s="9"/>
      <c r="B3" s="3"/>
      <c r="C3" s="3"/>
      <c r="D3" s="256"/>
      <c r="E3" s="256"/>
      <c r="F3" s="256"/>
      <c r="G3" s="3"/>
      <c r="H3" s="10"/>
    </row>
    <row r="4" spans="1:8" x14ac:dyDescent="0.2">
      <c r="A4" s="9"/>
      <c r="B4" s="3"/>
      <c r="C4" s="3"/>
      <c r="D4" s="3"/>
      <c r="E4" s="3"/>
      <c r="F4" s="3"/>
      <c r="G4" s="3"/>
      <c r="H4" s="10"/>
    </row>
    <row r="5" spans="1:8" ht="13.5" thickBot="1" x14ac:dyDescent="0.25">
      <c r="A5" s="9"/>
      <c r="B5" s="3"/>
      <c r="C5" s="3"/>
      <c r="D5" s="3"/>
      <c r="E5" s="3"/>
      <c r="F5" s="3"/>
      <c r="G5" s="3"/>
      <c r="H5" s="10"/>
    </row>
    <row r="6" spans="1:8" x14ac:dyDescent="0.2">
      <c r="A6" s="9"/>
      <c r="B6" s="3"/>
      <c r="C6" s="3"/>
      <c r="D6" s="3"/>
      <c r="E6" s="24" t="s">
        <v>15</v>
      </c>
      <c r="F6" s="25"/>
      <c r="G6" s="3"/>
      <c r="H6" s="10"/>
    </row>
    <row r="7" spans="1:8" ht="13.5" thickBot="1" x14ac:dyDescent="0.25">
      <c r="A7" s="9"/>
      <c r="B7" s="3"/>
      <c r="C7" s="3"/>
      <c r="D7" s="3"/>
      <c r="E7" s="26"/>
      <c r="F7" s="27"/>
      <c r="G7" s="3"/>
      <c r="H7" s="10"/>
    </row>
    <row r="8" spans="1:8" x14ac:dyDescent="0.2">
      <c r="A8" s="9"/>
      <c r="B8" s="3"/>
      <c r="C8" s="3"/>
      <c r="D8" s="3"/>
      <c r="E8" s="22" t="s">
        <v>12</v>
      </c>
      <c r="F8" s="29">
        <v>10</v>
      </c>
      <c r="G8" s="3"/>
      <c r="H8" s="10"/>
    </row>
    <row r="9" spans="1:8" x14ac:dyDescent="0.2">
      <c r="A9" s="9"/>
      <c r="B9" s="3"/>
      <c r="C9" s="3"/>
      <c r="D9" s="3"/>
      <c r="E9" s="22" t="s">
        <v>13</v>
      </c>
      <c r="F9" s="30"/>
      <c r="G9" s="3"/>
      <c r="H9" s="10"/>
    </row>
    <row r="10" spans="1:8" x14ac:dyDescent="0.2">
      <c r="A10" s="9"/>
      <c r="B10" s="3"/>
      <c r="C10" s="3"/>
      <c r="D10" s="3"/>
      <c r="E10" s="22" t="s">
        <v>14</v>
      </c>
      <c r="F10" s="31"/>
      <c r="G10" s="3"/>
      <c r="H10" s="10"/>
    </row>
    <row r="11" spans="1:8" ht="13.5" thickBot="1" x14ac:dyDescent="0.25">
      <c r="A11" s="9"/>
      <c r="B11" s="3"/>
      <c r="C11" s="3"/>
      <c r="D11" s="3"/>
      <c r="E11" s="23" t="s">
        <v>20</v>
      </c>
      <c r="F11" s="32"/>
      <c r="G11" s="3"/>
      <c r="H11" s="10"/>
    </row>
    <row r="12" spans="1:8" x14ac:dyDescent="0.2">
      <c r="A12" s="9"/>
      <c r="B12" s="3"/>
      <c r="C12" s="3"/>
      <c r="D12" s="3"/>
      <c r="E12" s="21" t="s">
        <v>12</v>
      </c>
      <c r="F12" s="172">
        <f>IF(F8&gt;0,F8,IF(F9&gt;0,F9*2,IF(F10&gt;0,F10/PI(),SQRT(F11/PI())*2)))</f>
        <v>10</v>
      </c>
      <c r="G12" s="3"/>
      <c r="H12" s="10"/>
    </row>
    <row r="13" spans="1:8" x14ac:dyDescent="0.2">
      <c r="A13" s="9"/>
      <c r="B13" s="3"/>
      <c r="C13" s="3"/>
      <c r="D13" s="3"/>
      <c r="E13" s="22" t="s">
        <v>13</v>
      </c>
      <c r="F13" s="173">
        <f>F12/2</f>
        <v>5</v>
      </c>
      <c r="G13" s="3"/>
      <c r="H13" s="10"/>
    </row>
    <row r="14" spans="1:8" x14ac:dyDescent="0.2">
      <c r="A14" s="9"/>
      <c r="B14" s="3"/>
      <c r="C14" s="3"/>
      <c r="D14" s="3"/>
      <c r="E14" s="22" t="s">
        <v>14</v>
      </c>
      <c r="F14" s="173">
        <f>F12*PI()</f>
        <v>31.415926535897931</v>
      </c>
      <c r="G14" s="3"/>
      <c r="H14" s="10"/>
    </row>
    <row r="15" spans="1:8" ht="13.5" thickBot="1" x14ac:dyDescent="0.25">
      <c r="A15" s="9"/>
      <c r="B15" s="3"/>
      <c r="C15" s="3"/>
      <c r="D15" s="3"/>
      <c r="E15" s="23" t="s">
        <v>20</v>
      </c>
      <c r="F15" s="174">
        <f>PI()*F13*F13</f>
        <v>78.539816339744831</v>
      </c>
      <c r="G15" s="3"/>
      <c r="H15" s="10"/>
    </row>
    <row r="16" spans="1:8" ht="13.5" thickBot="1" x14ac:dyDescent="0.25">
      <c r="A16" s="9"/>
      <c r="B16" s="3"/>
      <c r="C16" s="3"/>
      <c r="D16" s="3"/>
      <c r="E16" s="257" t="s">
        <v>21</v>
      </c>
      <c r="F16" s="258"/>
      <c r="G16" s="3"/>
      <c r="H16" s="10"/>
    </row>
    <row r="17" spans="1:8" ht="13.5" thickBot="1" x14ac:dyDescent="0.25">
      <c r="A17" s="9"/>
      <c r="B17" s="3"/>
      <c r="C17" s="3"/>
      <c r="D17" s="3"/>
      <c r="E17" s="21" t="s">
        <v>12</v>
      </c>
      <c r="F17" s="200">
        <f>F12</f>
        <v>10</v>
      </c>
      <c r="G17" s="3"/>
      <c r="H17" s="10"/>
    </row>
    <row r="18" spans="1:8" ht="13.5" thickBot="1" x14ac:dyDescent="0.25">
      <c r="A18" s="9"/>
      <c r="B18" s="3"/>
      <c r="C18" s="3"/>
      <c r="D18" s="3"/>
      <c r="E18" s="22" t="s">
        <v>13</v>
      </c>
      <c r="F18" s="200">
        <f t="shared" ref="F18:F20" si="0">F13</f>
        <v>5</v>
      </c>
      <c r="G18" s="3"/>
      <c r="H18" s="10"/>
    </row>
    <row r="19" spans="1:8" ht="13.5" thickBot="1" x14ac:dyDescent="0.25">
      <c r="A19" s="9"/>
      <c r="B19" s="3"/>
      <c r="C19" s="3"/>
      <c r="D19" s="3"/>
      <c r="E19" s="22" t="s">
        <v>14</v>
      </c>
      <c r="F19" s="200">
        <f t="shared" si="0"/>
        <v>31.415926535897931</v>
      </c>
      <c r="G19" s="3"/>
      <c r="H19" s="10"/>
    </row>
    <row r="20" spans="1:8" ht="13.5" thickBot="1" x14ac:dyDescent="0.25">
      <c r="A20" s="9"/>
      <c r="B20" s="3"/>
      <c r="C20" s="3"/>
      <c r="D20" s="3"/>
      <c r="E20" s="23" t="s">
        <v>20</v>
      </c>
      <c r="F20" s="200">
        <f t="shared" si="0"/>
        <v>78.539816339744831</v>
      </c>
      <c r="G20" s="3"/>
      <c r="H20" s="10"/>
    </row>
    <row r="21" spans="1:8" ht="25.5" customHeight="1" x14ac:dyDescent="0.2">
      <c r="A21" s="9"/>
      <c r="B21" s="259"/>
      <c r="C21" s="260"/>
      <c r="D21" s="260"/>
      <c r="E21" s="260"/>
      <c r="F21" s="260"/>
      <c r="G21" s="260"/>
      <c r="H21" s="10"/>
    </row>
    <row r="22" spans="1:8" ht="13.5" thickBot="1" x14ac:dyDescent="0.25">
      <c r="A22" s="14"/>
      <c r="B22" s="15"/>
      <c r="C22" s="15"/>
      <c r="D22" s="35"/>
      <c r="E22" s="15"/>
      <c r="F22" s="15"/>
      <c r="G22" s="15"/>
      <c r="H22" s="16"/>
    </row>
    <row r="23" spans="1:8" x14ac:dyDescent="0.2">
      <c r="A23" s="6"/>
      <c r="B23" s="255" t="s">
        <v>84</v>
      </c>
      <c r="C23" s="255"/>
      <c r="D23" s="255"/>
      <c r="E23" s="7"/>
      <c r="F23" s="7"/>
      <c r="G23" s="7"/>
      <c r="H23" s="8"/>
    </row>
    <row r="24" spans="1:8" x14ac:dyDescent="0.2">
      <c r="A24" s="9"/>
      <c r="B24" s="256"/>
      <c r="C24" s="256"/>
      <c r="D24" s="256"/>
      <c r="E24" s="3"/>
      <c r="F24" s="3"/>
      <c r="G24" s="3"/>
      <c r="H24" s="10"/>
    </row>
    <row r="25" spans="1:8" x14ac:dyDescent="0.2">
      <c r="A25" s="9"/>
      <c r="B25" s="256"/>
      <c r="C25" s="256"/>
      <c r="D25" s="256"/>
      <c r="E25" s="3"/>
      <c r="F25" s="3"/>
      <c r="G25" s="3"/>
      <c r="H25" s="10"/>
    </row>
    <row r="26" spans="1:8" x14ac:dyDescent="0.2">
      <c r="A26" s="9"/>
      <c r="B26" s="3"/>
      <c r="C26" s="3"/>
      <c r="D26" s="3"/>
      <c r="E26" s="3"/>
      <c r="F26" s="3" t="s">
        <v>80</v>
      </c>
      <c r="G26" s="3"/>
      <c r="H26" s="10"/>
    </row>
    <row r="27" spans="1:8" x14ac:dyDescent="0.2">
      <c r="A27" s="9"/>
      <c r="B27" s="3"/>
      <c r="C27" s="3"/>
      <c r="D27" s="3"/>
      <c r="E27" s="3"/>
      <c r="F27" s="3" t="s">
        <v>79</v>
      </c>
      <c r="G27" s="3"/>
      <c r="H27" s="10"/>
    </row>
    <row r="28" spans="1:8" x14ac:dyDescent="0.2">
      <c r="A28" s="9"/>
      <c r="B28" s="3"/>
      <c r="C28" s="3"/>
      <c r="D28" s="3"/>
      <c r="E28" s="3"/>
      <c r="F28" s="3" t="s">
        <v>78</v>
      </c>
      <c r="G28" s="3"/>
      <c r="H28" s="10"/>
    </row>
    <row r="29" spans="1:8" x14ac:dyDescent="0.2">
      <c r="A29" s="9"/>
      <c r="B29" s="3"/>
      <c r="C29" s="3"/>
      <c r="D29" s="3"/>
      <c r="E29" s="136"/>
      <c r="F29" s="3" t="s">
        <v>86</v>
      </c>
      <c r="G29" s="3"/>
      <c r="H29" s="10"/>
    </row>
    <row r="30" spans="1:8" x14ac:dyDescent="0.2">
      <c r="A30" s="9"/>
      <c r="B30" s="3"/>
      <c r="C30" s="3"/>
      <c r="D30" s="3"/>
      <c r="E30" s="3"/>
      <c r="F30" s="137" t="s">
        <v>88</v>
      </c>
      <c r="G30" s="3"/>
      <c r="H30" s="10"/>
    </row>
    <row r="31" spans="1:8" x14ac:dyDescent="0.2">
      <c r="A31" s="9"/>
      <c r="B31" s="3"/>
      <c r="C31" s="3"/>
      <c r="D31" s="3"/>
      <c r="E31" s="3"/>
      <c r="F31" s="3" t="s">
        <v>85</v>
      </c>
      <c r="G31" s="3"/>
      <c r="H31" s="10"/>
    </row>
    <row r="32" spans="1:8" x14ac:dyDescent="0.2">
      <c r="A32" s="9"/>
      <c r="B32" s="3"/>
      <c r="C32" s="3"/>
      <c r="D32" s="3"/>
      <c r="E32" s="3"/>
      <c r="F32" s="3"/>
      <c r="G32" s="3"/>
      <c r="H32" s="10"/>
    </row>
    <row r="33" spans="1:8" x14ac:dyDescent="0.2">
      <c r="A33" s="9"/>
      <c r="B33" s="3"/>
      <c r="C33" s="3"/>
      <c r="D33" s="3"/>
      <c r="E33" s="3"/>
      <c r="F33" s="3"/>
      <c r="G33" s="3"/>
      <c r="H33" s="10"/>
    </row>
    <row r="34" spans="1:8" ht="13.5" thickBot="1" x14ac:dyDescent="0.25">
      <c r="A34" s="9"/>
      <c r="B34" s="3"/>
      <c r="C34" s="3"/>
      <c r="D34" s="3"/>
      <c r="F34" s="1"/>
      <c r="G34" s="3"/>
      <c r="H34" s="10"/>
    </row>
    <row r="35" spans="1:8" x14ac:dyDescent="0.2">
      <c r="A35" s="9"/>
      <c r="B35" s="3"/>
      <c r="C35" s="3"/>
      <c r="D35" s="3"/>
      <c r="E35" s="2" t="s">
        <v>82</v>
      </c>
      <c r="F35" s="139">
        <v>1.22656294173983E-2</v>
      </c>
      <c r="G35" s="3"/>
      <c r="H35" s="10"/>
    </row>
    <row r="36" spans="1:8" ht="13.5" thickBot="1" x14ac:dyDescent="0.25">
      <c r="A36" s="9"/>
      <c r="B36" s="3"/>
      <c r="C36" s="3"/>
      <c r="D36" s="3"/>
      <c r="E36" s="2" t="s">
        <v>83</v>
      </c>
      <c r="F36" s="140">
        <v>1.8</v>
      </c>
      <c r="G36" s="3"/>
      <c r="H36" s="10"/>
    </row>
    <row r="37" spans="1:8" ht="13.5" thickBot="1" x14ac:dyDescent="0.25">
      <c r="A37" s="9"/>
      <c r="B37" s="3"/>
      <c r="C37" s="3"/>
      <c r="D37" s="3"/>
      <c r="F37" s="141"/>
      <c r="G37" s="3"/>
      <c r="H37" s="10"/>
    </row>
    <row r="38" spans="1:8" x14ac:dyDescent="0.2">
      <c r="A38" s="9"/>
      <c r="B38" s="3"/>
      <c r="C38" s="3"/>
      <c r="D38" s="3"/>
      <c r="E38" s="2" t="s">
        <v>82</v>
      </c>
      <c r="F38" s="172">
        <f>F35</f>
        <v>1.22656294173983E-2</v>
      </c>
      <c r="G38" s="3"/>
      <c r="H38" s="10"/>
    </row>
    <row r="39" spans="1:8" x14ac:dyDescent="0.2">
      <c r="A39" s="9"/>
      <c r="B39" s="3"/>
      <c r="C39" s="3"/>
      <c r="D39" s="3"/>
      <c r="E39" s="2" t="s">
        <v>83</v>
      </c>
      <c r="F39" s="173">
        <f>F36</f>
        <v>1.8</v>
      </c>
      <c r="G39" s="3"/>
      <c r="H39" s="10"/>
    </row>
    <row r="40" spans="1:8" x14ac:dyDescent="0.2">
      <c r="A40" s="9"/>
      <c r="B40" s="3"/>
      <c r="C40" s="3"/>
      <c r="D40" s="3"/>
      <c r="E40" s="2" t="s">
        <v>81</v>
      </c>
      <c r="F40" s="173">
        <f>F35/2+(F36^2 /(8*F35))</f>
        <v>33.02522920331505</v>
      </c>
      <c r="G40" s="3"/>
      <c r="H40" s="10"/>
    </row>
    <row r="41" spans="1:8" x14ac:dyDescent="0.2">
      <c r="A41" s="9"/>
      <c r="B41" s="3"/>
      <c r="C41" s="3"/>
      <c r="D41" s="3"/>
      <c r="E41" s="2" t="s">
        <v>87</v>
      </c>
      <c r="F41" s="173">
        <f>2*F40</f>
        <v>66.050458406630099</v>
      </c>
      <c r="G41" s="3"/>
      <c r="H41" s="10"/>
    </row>
    <row r="42" spans="1:8" ht="13.5" thickBot="1" x14ac:dyDescent="0.25">
      <c r="A42" s="9"/>
      <c r="B42" s="3"/>
      <c r="C42" s="3"/>
      <c r="D42" s="3"/>
      <c r="E42" s="2" t="s">
        <v>69</v>
      </c>
      <c r="F42" s="201">
        <f>((((DEGREES(ASIN($F$39/2 / ($F$40))))*2)/360)*(PI()*F40^2))-($F$39/2 * ($F$40-$F$35))</f>
        <v>1.4719302045122618E-2</v>
      </c>
      <c r="G42" s="3"/>
      <c r="H42" s="10"/>
    </row>
    <row r="43" spans="1:8" x14ac:dyDescent="0.2">
      <c r="A43" s="202" t="s">
        <v>95</v>
      </c>
      <c r="B43" s="107"/>
      <c r="C43" s="107"/>
      <c r="D43" s="107"/>
      <c r="E43" s="107"/>
      <c r="F43" s="203"/>
      <c r="G43" s="107"/>
      <c r="H43" s="108"/>
    </row>
    <row r="44" spans="1:8" x14ac:dyDescent="0.2">
      <c r="A44" s="109"/>
      <c r="B44" s="204"/>
      <c r="C44" s="110"/>
      <c r="D44" s="110"/>
      <c r="E44" s="110"/>
      <c r="F44" s="110"/>
      <c r="G44" s="110"/>
      <c r="H44" s="111"/>
    </row>
    <row r="45" spans="1:8" x14ac:dyDescent="0.2">
      <c r="A45" s="109"/>
      <c r="B45" s="110"/>
      <c r="C45" s="110"/>
      <c r="D45" s="110"/>
      <c r="E45" s="110"/>
      <c r="F45" s="110"/>
      <c r="G45" s="110"/>
      <c r="H45" s="111"/>
    </row>
    <row r="46" spans="1:8" x14ac:dyDescent="0.2">
      <c r="A46" s="109"/>
      <c r="B46" s="110"/>
      <c r="C46" s="110"/>
      <c r="D46" s="110"/>
      <c r="E46" s="110"/>
      <c r="F46" s="110"/>
      <c r="G46" s="110"/>
      <c r="H46" s="111"/>
    </row>
    <row r="47" spans="1:8" x14ac:dyDescent="0.2">
      <c r="A47" s="109"/>
      <c r="B47" s="110"/>
      <c r="C47" s="110"/>
      <c r="D47" s="110"/>
      <c r="E47" s="110"/>
      <c r="F47" s="110"/>
      <c r="G47" s="110"/>
      <c r="H47" s="111"/>
    </row>
    <row r="48" spans="1:8" x14ac:dyDescent="0.2">
      <c r="A48" s="109"/>
      <c r="B48" s="138"/>
      <c r="C48" s="151"/>
      <c r="D48" s="138"/>
      <c r="E48" s="110"/>
      <c r="F48" s="110"/>
      <c r="G48" s="110"/>
      <c r="H48" s="111"/>
    </row>
    <row r="49" spans="1:8" x14ac:dyDescent="0.2">
      <c r="A49" s="109"/>
      <c r="B49" s="110"/>
      <c r="C49" s="110"/>
      <c r="D49" s="110"/>
      <c r="E49" s="110"/>
      <c r="F49" s="110"/>
      <c r="G49" s="110"/>
      <c r="H49" s="111"/>
    </row>
    <row r="50" spans="1:8" x14ac:dyDescent="0.2">
      <c r="A50" s="109"/>
      <c r="B50" s="110"/>
      <c r="C50" s="110"/>
      <c r="D50" s="110"/>
      <c r="E50" s="110"/>
      <c r="F50" s="110"/>
      <c r="G50" s="110"/>
      <c r="H50" s="111"/>
    </row>
    <row r="51" spans="1:8" x14ac:dyDescent="0.2">
      <c r="A51" s="109"/>
      <c r="B51" s="110"/>
      <c r="C51" s="110"/>
      <c r="D51" s="110"/>
      <c r="E51" s="110"/>
      <c r="F51" s="110"/>
      <c r="G51" s="110"/>
      <c r="H51" s="111"/>
    </row>
    <row r="52" spans="1:8" x14ac:dyDescent="0.2">
      <c r="A52" s="109"/>
      <c r="B52" s="110"/>
      <c r="C52" s="110"/>
      <c r="D52" s="110"/>
      <c r="E52" s="110"/>
      <c r="F52" s="110"/>
      <c r="G52" s="110"/>
      <c r="H52" s="111"/>
    </row>
    <row r="53" spans="1:8" x14ac:dyDescent="0.2">
      <c r="A53" s="109"/>
      <c r="B53" s="110"/>
      <c r="C53" s="110"/>
      <c r="D53" s="110"/>
      <c r="E53" s="110"/>
      <c r="F53" s="110"/>
      <c r="G53" s="110"/>
      <c r="H53" s="111"/>
    </row>
    <row r="54" spans="1:8" x14ac:dyDescent="0.2">
      <c r="A54" s="109"/>
      <c r="B54" s="110"/>
      <c r="C54" s="110"/>
      <c r="D54" s="110"/>
      <c r="E54" s="110"/>
      <c r="F54" s="110"/>
      <c r="G54" s="110"/>
      <c r="H54" s="111"/>
    </row>
    <row r="55" spans="1:8" x14ac:dyDescent="0.2">
      <c r="A55" s="109"/>
      <c r="B55" s="110"/>
      <c r="C55" s="110"/>
      <c r="D55" s="110"/>
      <c r="E55" s="110"/>
      <c r="F55" s="110"/>
      <c r="G55" s="110"/>
      <c r="H55" s="111"/>
    </row>
    <row r="56" spans="1:8" x14ac:dyDescent="0.2">
      <c r="A56" s="109"/>
      <c r="B56" s="110"/>
      <c r="C56" s="110"/>
      <c r="D56" s="110"/>
      <c r="E56" s="110"/>
      <c r="F56" s="110"/>
      <c r="G56" s="110"/>
      <c r="H56" s="111"/>
    </row>
    <row r="57" spans="1:8" x14ac:dyDescent="0.2">
      <c r="A57" s="109"/>
      <c r="B57" s="110"/>
      <c r="C57" s="110"/>
      <c r="D57" s="110"/>
      <c r="E57" s="110"/>
      <c r="F57" s="110"/>
      <c r="G57" s="110"/>
      <c r="H57" s="111"/>
    </row>
    <row r="58" spans="1:8" x14ac:dyDescent="0.2">
      <c r="A58" s="109"/>
      <c r="B58" s="110"/>
      <c r="C58" s="110"/>
      <c r="D58" s="110"/>
      <c r="E58" s="110"/>
      <c r="F58" s="110"/>
      <c r="G58" s="110"/>
      <c r="H58" s="111"/>
    </row>
    <row r="59" spans="1:8" x14ac:dyDescent="0.2">
      <c r="A59" s="109"/>
      <c r="B59" s="110"/>
      <c r="C59" s="110"/>
      <c r="D59" s="110"/>
      <c r="E59" s="110"/>
      <c r="F59" s="110"/>
      <c r="G59" s="110"/>
      <c r="H59" s="111"/>
    </row>
    <row r="60" spans="1:8" x14ac:dyDescent="0.2">
      <c r="A60" s="109"/>
      <c r="B60" s="110"/>
      <c r="C60" s="110"/>
      <c r="D60" s="110"/>
      <c r="E60" s="135"/>
      <c r="F60" s="135"/>
      <c r="G60" s="135"/>
      <c r="H60" s="111"/>
    </row>
    <row r="61" spans="1:8" x14ac:dyDescent="0.2">
      <c r="A61" s="109"/>
      <c r="B61" s="110"/>
      <c r="C61" s="110"/>
      <c r="D61" s="110"/>
      <c r="E61" s="135"/>
      <c r="F61" s="135"/>
      <c r="G61" s="135"/>
      <c r="H61" s="111"/>
    </row>
    <row r="62" spans="1:8" x14ac:dyDescent="0.2">
      <c r="A62" s="109"/>
      <c r="B62" s="110"/>
      <c r="C62" s="110"/>
      <c r="D62" s="110"/>
      <c r="E62" s="110"/>
      <c r="F62" s="110"/>
      <c r="G62" s="110"/>
      <c r="H62" s="111"/>
    </row>
    <row r="63" spans="1:8" x14ac:dyDescent="0.2">
      <c r="A63" s="109"/>
      <c r="B63" s="110"/>
      <c r="C63" s="110"/>
      <c r="D63" s="110"/>
      <c r="E63" s="110"/>
      <c r="F63" s="110"/>
      <c r="G63" s="110"/>
      <c r="H63" s="111"/>
    </row>
    <row r="64" spans="1:8" x14ac:dyDescent="0.2">
      <c r="A64" s="109"/>
      <c r="B64" s="110"/>
      <c r="C64" s="110"/>
      <c r="D64" s="110"/>
      <c r="E64" s="110"/>
      <c r="F64" s="110"/>
      <c r="G64" s="110"/>
      <c r="H64" s="111"/>
    </row>
    <row r="65" spans="1:8" x14ac:dyDescent="0.2">
      <c r="A65" s="109"/>
      <c r="B65" s="110"/>
      <c r="C65" s="110"/>
      <c r="D65" s="110"/>
      <c r="E65" s="110"/>
      <c r="F65" s="110"/>
      <c r="G65" s="110"/>
      <c r="H65" s="111"/>
    </row>
    <row r="66" spans="1:8" x14ac:dyDescent="0.2">
      <c r="A66" s="109"/>
      <c r="B66" s="110"/>
      <c r="C66" s="110"/>
      <c r="D66" s="110"/>
      <c r="E66" s="110"/>
      <c r="F66" s="110"/>
      <c r="G66" s="110"/>
      <c r="H66" s="111"/>
    </row>
    <row r="67" spans="1:8" ht="13.5" thickBot="1" x14ac:dyDescent="0.25">
      <c r="A67" s="112"/>
      <c r="B67" s="113"/>
      <c r="C67" s="113"/>
      <c r="D67" s="113"/>
      <c r="E67" s="113"/>
      <c r="F67" s="113"/>
      <c r="G67" s="113"/>
      <c r="H67" s="114"/>
    </row>
  </sheetData>
  <sheetProtection sheet="1"/>
  <mergeCells count="4">
    <mergeCell ref="D1:F3"/>
    <mergeCell ref="E16:F16"/>
    <mergeCell ref="B21:G21"/>
    <mergeCell ref="B23:D25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01"/>
  <sheetViews>
    <sheetView workbookViewId="0">
      <selection activeCell="Q11" sqref="Q11"/>
    </sheetView>
  </sheetViews>
  <sheetFormatPr defaultRowHeight="12.75" x14ac:dyDescent="0.2"/>
  <cols>
    <col min="7" max="7" width="15" customWidth="1"/>
    <col min="8" max="8" width="12.7109375" customWidth="1"/>
    <col min="9" max="9" width="15.140625" customWidth="1"/>
  </cols>
  <sheetData>
    <row r="1" spans="1:1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">
      <c r="A2" s="9"/>
      <c r="B2" s="3"/>
      <c r="C2" s="3"/>
      <c r="D2" s="3"/>
      <c r="E2" s="3"/>
      <c r="F2" s="3"/>
      <c r="G2" s="3"/>
      <c r="H2" s="3"/>
      <c r="I2" s="3"/>
      <c r="J2" s="3"/>
      <c r="K2" s="10"/>
    </row>
    <row r="3" spans="1:11" x14ac:dyDescent="0.2">
      <c r="A3" s="9"/>
      <c r="B3" s="3"/>
      <c r="C3" s="3"/>
      <c r="D3" s="3"/>
      <c r="E3" s="3"/>
      <c r="F3" s="3"/>
      <c r="G3" s="3"/>
      <c r="H3" s="3"/>
      <c r="I3" s="3"/>
      <c r="J3" s="3"/>
      <c r="K3" s="10"/>
    </row>
    <row r="4" spans="1:11" ht="13.5" thickBot="1" x14ac:dyDescent="0.25">
      <c r="A4" s="9"/>
      <c r="B4" s="3"/>
      <c r="C4" s="3"/>
      <c r="D4" s="3"/>
      <c r="E4" s="3"/>
      <c r="F4" s="3"/>
      <c r="G4" s="3"/>
      <c r="H4" s="3"/>
      <c r="I4" s="34" t="s">
        <v>19</v>
      </c>
      <c r="J4" s="3"/>
      <c r="K4" s="10"/>
    </row>
    <row r="5" spans="1:11" ht="13.5" thickBot="1" x14ac:dyDescent="0.25">
      <c r="A5" s="9"/>
      <c r="B5" s="3"/>
      <c r="C5" s="3"/>
      <c r="D5" s="3"/>
      <c r="E5" s="3"/>
      <c r="F5" s="3"/>
      <c r="G5" s="40" t="s">
        <v>2</v>
      </c>
      <c r="H5" s="44">
        <f>IF(AND(B14=0,B15=0),0,IF(B14&gt;0,B14,B16/B15))</f>
        <v>1.99</v>
      </c>
      <c r="I5" s="205">
        <f>H5</f>
        <v>1.99</v>
      </c>
      <c r="J5" s="3"/>
      <c r="K5" s="10"/>
    </row>
    <row r="6" spans="1:11" ht="13.5" thickBot="1" x14ac:dyDescent="0.25">
      <c r="A6" s="9"/>
      <c r="B6" s="3"/>
      <c r="C6" s="3"/>
      <c r="D6" s="3"/>
      <c r="E6" s="3"/>
      <c r="F6" s="3"/>
      <c r="G6" s="41" t="s">
        <v>23</v>
      </c>
      <c r="H6" s="44">
        <f>IF(AND(B14=0,B15=0),0,IF(B15&gt;0,B15,B16/B14))</f>
        <v>0.42</v>
      </c>
      <c r="I6" s="205">
        <f t="shared" ref="I6:I8" si="0">H6</f>
        <v>0.42</v>
      </c>
      <c r="J6" s="3"/>
      <c r="K6" s="10"/>
    </row>
    <row r="7" spans="1:11" ht="13.5" thickBot="1" x14ac:dyDescent="0.25">
      <c r="B7" s="1"/>
      <c r="C7" s="3"/>
      <c r="D7" s="3"/>
      <c r="E7" s="3"/>
      <c r="F7" s="3"/>
      <c r="G7" s="42" t="s">
        <v>24</v>
      </c>
      <c r="H7" s="45">
        <f>H5*H6</f>
        <v>0.83579999999999999</v>
      </c>
      <c r="I7" s="205">
        <f t="shared" si="0"/>
        <v>0.83579999999999999</v>
      </c>
      <c r="J7" s="3"/>
      <c r="K7" s="10"/>
    </row>
    <row r="8" spans="1:11" ht="13.5" thickBot="1" x14ac:dyDescent="0.25">
      <c r="A8" s="9"/>
      <c r="B8" s="36" t="s">
        <v>2</v>
      </c>
      <c r="C8" s="3"/>
      <c r="D8" s="3"/>
      <c r="E8" s="3"/>
      <c r="F8" s="3"/>
      <c r="G8" s="43" t="s">
        <v>25</v>
      </c>
      <c r="H8" s="45">
        <f>SQRT(SUMSQ(H5,H6))</f>
        <v>2.0338387350033433</v>
      </c>
      <c r="I8" s="205">
        <f t="shared" si="0"/>
        <v>2.0338387350033433</v>
      </c>
      <c r="J8" s="3"/>
      <c r="K8" s="10"/>
    </row>
    <row r="9" spans="1:11" x14ac:dyDescent="0.2">
      <c r="A9" s="9"/>
      <c r="B9" s="3"/>
      <c r="C9" s="3"/>
      <c r="D9" s="3"/>
      <c r="E9" s="3"/>
      <c r="F9" s="3"/>
      <c r="G9" s="3"/>
      <c r="H9" s="3"/>
      <c r="I9" s="3"/>
      <c r="J9" s="3"/>
      <c r="K9" s="10"/>
    </row>
    <row r="10" spans="1:11" x14ac:dyDescent="0.2">
      <c r="A10" s="9"/>
      <c r="B10" s="3"/>
      <c r="C10" s="3"/>
      <c r="D10" s="3"/>
      <c r="E10" s="3"/>
      <c r="F10" s="3"/>
      <c r="G10" s="3"/>
      <c r="H10" s="38" t="s">
        <v>22</v>
      </c>
      <c r="I10" s="3"/>
      <c r="J10" s="3"/>
      <c r="K10" s="10"/>
    </row>
    <row r="11" spans="1:11" ht="13.5" thickBot="1" x14ac:dyDescent="0.25">
      <c r="A11" s="9"/>
      <c r="B11" s="3"/>
      <c r="C11" s="3"/>
      <c r="D11" s="3"/>
      <c r="E11" s="3"/>
      <c r="F11" s="3"/>
      <c r="G11" s="3"/>
      <c r="H11" s="3"/>
      <c r="I11" s="3"/>
      <c r="J11" s="3"/>
      <c r="K11" s="10"/>
    </row>
    <row r="12" spans="1:11" ht="13.5" thickBot="1" x14ac:dyDescent="0.25">
      <c r="A12" s="9"/>
      <c r="B12" s="3"/>
      <c r="C12" s="3"/>
      <c r="D12" s="36" t="s">
        <v>23</v>
      </c>
      <c r="E12" s="3"/>
      <c r="F12" s="3"/>
      <c r="G12" s="3"/>
      <c r="H12" s="3"/>
      <c r="I12" s="3"/>
      <c r="J12" s="3"/>
      <c r="K12" s="10"/>
    </row>
    <row r="13" spans="1:11" ht="13.5" thickBot="1" x14ac:dyDescent="0.25">
      <c r="A13" s="262" t="s">
        <v>27</v>
      </c>
      <c r="B13" s="263"/>
      <c r="C13" s="3"/>
      <c r="E13" s="3"/>
      <c r="F13" s="3"/>
      <c r="G13" s="1"/>
      <c r="H13" s="1"/>
      <c r="I13" s="3"/>
      <c r="J13" s="3"/>
      <c r="K13" s="10"/>
    </row>
    <row r="14" spans="1:11" ht="13.5" thickBot="1" x14ac:dyDescent="0.25">
      <c r="A14" s="36" t="s">
        <v>2</v>
      </c>
      <c r="B14" s="46">
        <v>1.99</v>
      </c>
      <c r="C14" s="3"/>
      <c r="D14" s="1"/>
      <c r="F14" s="3"/>
      <c r="H14" s="1"/>
      <c r="I14" s="3"/>
      <c r="J14" s="3"/>
      <c r="K14" s="10"/>
    </row>
    <row r="15" spans="1:11" ht="13.5" thickBot="1" x14ac:dyDescent="0.25">
      <c r="A15" s="36" t="s">
        <v>23</v>
      </c>
      <c r="B15" s="46">
        <v>0.42</v>
      </c>
      <c r="C15" s="3"/>
      <c r="D15" s="3"/>
      <c r="E15" s="3"/>
      <c r="F15" s="3"/>
      <c r="G15" s="3"/>
      <c r="H15" s="3"/>
      <c r="I15" s="3"/>
      <c r="J15" s="3"/>
      <c r="K15" s="10"/>
    </row>
    <row r="16" spans="1:11" ht="13.5" thickBot="1" x14ac:dyDescent="0.25">
      <c r="A16" s="36" t="s">
        <v>26</v>
      </c>
      <c r="B16" s="46"/>
      <c r="C16" s="3"/>
      <c r="D16" s="3"/>
      <c r="E16" s="3"/>
      <c r="F16" s="3"/>
      <c r="G16" s="3"/>
      <c r="H16" s="3"/>
      <c r="I16" s="3"/>
      <c r="J16" s="3"/>
      <c r="K16" s="10"/>
    </row>
    <row r="17" spans="1:1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10"/>
    </row>
    <row r="18" spans="1:1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10"/>
    </row>
    <row r="19" spans="1:11" ht="30" customHeight="1" x14ac:dyDescent="0.2">
      <c r="A19" s="9"/>
      <c r="B19" s="3"/>
      <c r="C19" s="261"/>
      <c r="D19" s="261"/>
      <c r="E19" s="261"/>
      <c r="F19" s="261"/>
      <c r="G19" s="261"/>
      <c r="H19" s="261"/>
      <c r="I19" s="261"/>
      <c r="J19" s="261"/>
      <c r="K19" s="37"/>
    </row>
    <row r="20" spans="1:11" x14ac:dyDescent="0.2">
      <c r="A20" s="9"/>
      <c r="B20" s="3"/>
      <c r="C20" s="3"/>
      <c r="D20" s="3"/>
      <c r="E20" s="3"/>
      <c r="G20" s="3"/>
      <c r="H20" s="3"/>
      <c r="I20" s="3"/>
      <c r="J20" s="3"/>
      <c r="K20" s="10"/>
    </row>
    <row r="21" spans="1:11" ht="13.5" thickBo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2" spans="1:11" x14ac:dyDescent="0.2">
      <c r="A22" s="199" t="s">
        <v>95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3"/>
    </row>
    <row r="23" spans="1:11" x14ac:dyDescent="0.2">
      <c r="A23" s="189"/>
      <c r="B23" s="184"/>
      <c r="C23" s="184"/>
      <c r="D23" s="184"/>
      <c r="E23" s="184"/>
      <c r="F23" s="184"/>
      <c r="G23" s="184"/>
      <c r="H23" s="184"/>
      <c r="I23" s="184"/>
      <c r="J23" s="184"/>
      <c r="K23" s="186"/>
    </row>
    <row r="24" spans="1:11" x14ac:dyDescent="0.2">
      <c r="A24" s="189"/>
      <c r="B24" s="184"/>
      <c r="C24" s="184"/>
      <c r="D24" s="184"/>
      <c r="E24" s="184"/>
      <c r="F24" s="184"/>
      <c r="G24" s="184"/>
      <c r="H24" s="184"/>
      <c r="I24" s="184"/>
      <c r="J24" s="184"/>
      <c r="K24" s="186"/>
    </row>
    <row r="25" spans="1:11" x14ac:dyDescent="0.2">
      <c r="A25" s="189"/>
      <c r="B25" s="184"/>
      <c r="C25" s="184"/>
      <c r="D25" s="184"/>
      <c r="E25" s="184"/>
      <c r="F25" s="184"/>
      <c r="G25" s="184"/>
      <c r="H25" s="184"/>
      <c r="I25" s="184"/>
      <c r="J25" s="184"/>
      <c r="K25" s="186"/>
    </row>
    <row r="26" spans="1:11" x14ac:dyDescent="0.2">
      <c r="A26" s="189"/>
      <c r="B26" s="184"/>
      <c r="C26" s="184"/>
      <c r="D26" s="184"/>
      <c r="E26" s="184"/>
      <c r="F26" s="184"/>
      <c r="G26" s="184"/>
      <c r="H26" s="184"/>
      <c r="I26" s="184"/>
      <c r="J26" s="184"/>
      <c r="K26" s="186"/>
    </row>
    <row r="27" spans="1:11" x14ac:dyDescent="0.2">
      <c r="A27" s="189"/>
      <c r="B27" s="184"/>
      <c r="C27" s="184"/>
      <c r="D27" s="184"/>
      <c r="E27" s="184"/>
      <c r="F27" s="184"/>
      <c r="G27" s="184"/>
      <c r="H27" s="184"/>
      <c r="I27" s="184"/>
      <c r="J27" s="184"/>
      <c r="K27" s="186"/>
    </row>
    <row r="28" spans="1:11" x14ac:dyDescent="0.2">
      <c r="A28" s="189"/>
      <c r="B28" s="184"/>
      <c r="C28" s="184"/>
      <c r="D28" s="184"/>
      <c r="E28" s="184"/>
      <c r="F28" s="184"/>
      <c r="G28" s="184"/>
      <c r="H28" s="184"/>
      <c r="I28" s="184"/>
      <c r="J28" s="184"/>
      <c r="K28" s="186"/>
    </row>
    <row r="29" spans="1:11" x14ac:dyDescent="0.2">
      <c r="A29" s="189"/>
      <c r="B29" s="184"/>
      <c r="C29" s="184"/>
      <c r="D29" s="184"/>
      <c r="E29" s="184"/>
      <c r="F29" s="184"/>
      <c r="G29" s="184"/>
      <c r="H29" s="184"/>
      <c r="I29" s="184"/>
      <c r="J29" s="184"/>
      <c r="K29" s="186"/>
    </row>
    <row r="30" spans="1:11" x14ac:dyDescent="0.2">
      <c r="A30" s="189"/>
      <c r="B30" s="184"/>
      <c r="C30" s="184"/>
      <c r="D30" s="184"/>
      <c r="E30" s="184"/>
      <c r="F30" s="184"/>
      <c r="G30" s="184"/>
      <c r="H30" s="184"/>
      <c r="I30" s="184"/>
      <c r="J30" s="184"/>
      <c r="K30" s="186"/>
    </row>
    <row r="31" spans="1:11" x14ac:dyDescent="0.2">
      <c r="A31" s="189"/>
      <c r="B31" s="184"/>
      <c r="C31" s="184"/>
      <c r="D31" s="184"/>
      <c r="E31" s="184"/>
      <c r="F31" s="184"/>
      <c r="G31" s="184"/>
      <c r="H31" s="184"/>
      <c r="I31" s="184"/>
      <c r="J31" s="184"/>
      <c r="K31" s="186"/>
    </row>
    <row r="32" spans="1:11" x14ac:dyDescent="0.2">
      <c r="A32" s="189"/>
      <c r="B32" s="184"/>
      <c r="C32" s="184"/>
      <c r="D32" s="184"/>
      <c r="E32" s="184"/>
      <c r="F32" s="184"/>
      <c r="G32" s="184"/>
      <c r="H32" s="184"/>
      <c r="I32" s="184"/>
      <c r="J32" s="184"/>
      <c r="K32" s="186"/>
    </row>
    <row r="33" spans="1:11" x14ac:dyDescent="0.2">
      <c r="A33" s="189"/>
      <c r="B33" s="184"/>
      <c r="C33" s="184"/>
      <c r="D33" s="184"/>
      <c r="E33" s="184"/>
      <c r="F33" s="184"/>
      <c r="G33" s="184"/>
      <c r="H33" s="184"/>
      <c r="I33" s="184"/>
      <c r="J33" s="184"/>
      <c r="K33" s="186"/>
    </row>
    <row r="34" spans="1:11" x14ac:dyDescent="0.2">
      <c r="A34" s="189"/>
      <c r="B34" s="184"/>
      <c r="C34" s="184"/>
      <c r="D34" s="184"/>
      <c r="E34" s="184"/>
      <c r="F34" s="184"/>
      <c r="G34" s="184"/>
      <c r="H34" s="184"/>
      <c r="I34" s="184"/>
      <c r="J34" s="184"/>
      <c r="K34" s="186"/>
    </row>
    <row r="35" spans="1:11" x14ac:dyDescent="0.2">
      <c r="A35" s="189"/>
      <c r="B35" s="184"/>
      <c r="C35" s="184"/>
      <c r="D35" s="184"/>
      <c r="E35" s="184"/>
      <c r="F35" s="184"/>
      <c r="G35" s="184"/>
      <c r="H35" s="184"/>
      <c r="I35" s="184"/>
      <c r="J35" s="184"/>
      <c r="K35" s="186"/>
    </row>
    <row r="36" spans="1:11" x14ac:dyDescent="0.2">
      <c r="A36" s="189"/>
      <c r="B36" s="184"/>
      <c r="C36" s="184"/>
      <c r="D36" s="184"/>
      <c r="E36" s="184"/>
      <c r="F36" s="184"/>
      <c r="G36" s="184"/>
      <c r="H36" s="184"/>
      <c r="I36" s="184"/>
      <c r="J36" s="184"/>
      <c r="K36" s="186"/>
    </row>
    <row r="37" spans="1:11" x14ac:dyDescent="0.2">
      <c r="A37" s="189"/>
      <c r="B37" s="184"/>
      <c r="C37" s="184"/>
      <c r="D37" s="184"/>
      <c r="E37" s="184"/>
      <c r="F37" s="184"/>
      <c r="G37" s="184"/>
      <c r="H37" s="184"/>
      <c r="I37" s="184"/>
      <c r="J37" s="184"/>
      <c r="K37" s="186"/>
    </row>
    <row r="38" spans="1:11" x14ac:dyDescent="0.2">
      <c r="A38" s="189"/>
      <c r="B38" s="184"/>
      <c r="C38" s="184"/>
      <c r="D38" s="184"/>
      <c r="E38" s="184"/>
      <c r="F38" s="184"/>
      <c r="G38" s="184"/>
      <c r="H38" s="184"/>
      <c r="I38" s="184"/>
      <c r="J38" s="184"/>
      <c r="K38" s="186"/>
    </row>
    <row r="39" spans="1:11" x14ac:dyDescent="0.2">
      <c r="A39" s="189"/>
      <c r="B39" s="184"/>
      <c r="C39" s="184"/>
      <c r="D39" s="184"/>
      <c r="E39" s="184"/>
      <c r="F39" s="184"/>
      <c r="G39" s="184"/>
      <c r="H39" s="184"/>
      <c r="I39" s="184"/>
      <c r="J39" s="184"/>
      <c r="K39" s="186"/>
    </row>
    <row r="40" spans="1:11" x14ac:dyDescent="0.2">
      <c r="A40" s="189"/>
      <c r="B40" s="184"/>
      <c r="C40" s="184"/>
      <c r="D40" s="184"/>
      <c r="E40" s="184"/>
      <c r="F40" s="184"/>
      <c r="G40" s="184"/>
      <c r="H40" s="184"/>
      <c r="I40" s="184"/>
      <c r="J40" s="184"/>
      <c r="K40" s="186"/>
    </row>
    <row r="41" spans="1:11" x14ac:dyDescent="0.2">
      <c r="A41" s="189"/>
      <c r="B41" s="184"/>
      <c r="C41" s="184"/>
      <c r="D41" s="184"/>
      <c r="E41" s="184"/>
      <c r="F41" s="184"/>
      <c r="G41" s="184"/>
      <c r="H41" s="184"/>
      <c r="I41" s="184"/>
      <c r="J41" s="184"/>
      <c r="K41" s="186"/>
    </row>
    <row r="42" spans="1:11" x14ac:dyDescent="0.2">
      <c r="A42" s="189"/>
      <c r="B42" s="184"/>
      <c r="C42" s="184"/>
      <c r="D42" s="184"/>
      <c r="E42" s="184"/>
      <c r="F42" s="184"/>
      <c r="G42" s="184"/>
      <c r="H42" s="184"/>
      <c r="I42" s="184"/>
      <c r="J42" s="184"/>
      <c r="K42" s="186"/>
    </row>
    <row r="43" spans="1:11" x14ac:dyDescent="0.2">
      <c r="A43" s="189"/>
      <c r="B43" s="184"/>
      <c r="C43" s="184"/>
      <c r="D43" s="184"/>
      <c r="E43" s="184"/>
      <c r="F43" s="184"/>
      <c r="G43" s="184"/>
      <c r="H43" s="184"/>
      <c r="I43" s="184"/>
      <c r="J43" s="184"/>
      <c r="K43" s="186"/>
    </row>
    <row r="44" spans="1:11" x14ac:dyDescent="0.2">
      <c r="A44" s="189"/>
      <c r="B44" s="184"/>
      <c r="C44" s="184"/>
      <c r="D44" s="184"/>
      <c r="E44" s="184"/>
      <c r="F44" s="184"/>
      <c r="G44" s="184"/>
      <c r="H44" s="184"/>
      <c r="I44" s="184"/>
      <c r="J44" s="184"/>
      <c r="K44" s="186"/>
    </row>
    <row r="45" spans="1:11" x14ac:dyDescent="0.2">
      <c r="A45" s="189"/>
      <c r="B45" s="184"/>
      <c r="C45" s="184"/>
      <c r="D45" s="184"/>
      <c r="E45" s="184"/>
      <c r="F45" s="184"/>
      <c r="G45" s="184"/>
      <c r="H45" s="184"/>
      <c r="I45" s="184"/>
      <c r="J45" s="184"/>
      <c r="K45" s="186"/>
    </row>
    <row r="46" spans="1:11" x14ac:dyDescent="0.2">
      <c r="A46" s="189"/>
      <c r="B46" s="184"/>
      <c r="C46" s="184"/>
      <c r="D46" s="184"/>
      <c r="E46" s="184"/>
      <c r="F46" s="184"/>
      <c r="G46" s="184"/>
      <c r="H46" s="184"/>
      <c r="I46" s="184"/>
      <c r="J46" s="184"/>
      <c r="K46" s="186"/>
    </row>
    <row r="47" spans="1:11" x14ac:dyDescent="0.2">
      <c r="A47" s="189"/>
      <c r="B47" s="184"/>
      <c r="C47" s="184"/>
      <c r="D47" s="184"/>
      <c r="E47" s="184"/>
      <c r="F47" s="184"/>
      <c r="G47" s="184"/>
      <c r="H47" s="184"/>
      <c r="I47" s="184"/>
      <c r="J47" s="184"/>
      <c r="K47" s="186"/>
    </row>
    <row r="48" spans="1:11" x14ac:dyDescent="0.2">
      <c r="A48" s="189"/>
      <c r="B48" s="184"/>
      <c r="C48" s="184"/>
      <c r="D48" s="184"/>
      <c r="E48" s="184"/>
      <c r="F48" s="184"/>
      <c r="G48" s="184"/>
      <c r="H48" s="184"/>
      <c r="I48" s="184"/>
      <c r="J48" s="184"/>
      <c r="K48" s="186"/>
    </row>
    <row r="49" spans="1:11" x14ac:dyDescent="0.2">
      <c r="A49" s="189"/>
      <c r="B49" s="184"/>
      <c r="C49" s="184"/>
      <c r="D49" s="184"/>
      <c r="E49" s="184"/>
      <c r="F49" s="184"/>
      <c r="G49" s="184"/>
      <c r="H49" s="184"/>
      <c r="I49" s="184"/>
      <c r="J49" s="184"/>
      <c r="K49" s="186"/>
    </row>
    <row r="50" spans="1:11" x14ac:dyDescent="0.2">
      <c r="A50" s="189"/>
      <c r="B50" s="184"/>
      <c r="C50" s="184"/>
      <c r="D50" s="184"/>
      <c r="E50" s="184"/>
      <c r="F50" s="184"/>
      <c r="G50" s="184"/>
      <c r="H50" s="184"/>
      <c r="I50" s="184"/>
      <c r="J50" s="184"/>
      <c r="K50" s="186"/>
    </row>
    <row r="51" spans="1:11" x14ac:dyDescent="0.2">
      <c r="A51" s="189"/>
      <c r="B51" s="184"/>
      <c r="C51" s="184"/>
      <c r="D51" s="184"/>
      <c r="E51" s="184"/>
      <c r="F51" s="184"/>
      <c r="G51" s="184"/>
      <c r="H51" s="184"/>
      <c r="I51" s="184"/>
      <c r="J51" s="184"/>
      <c r="K51" s="186"/>
    </row>
    <row r="52" spans="1:11" x14ac:dyDescent="0.2">
      <c r="A52" s="189"/>
      <c r="B52" s="184"/>
      <c r="C52" s="184"/>
      <c r="D52" s="184"/>
      <c r="E52" s="184"/>
      <c r="F52" s="184"/>
      <c r="G52" s="184"/>
      <c r="H52" s="184"/>
      <c r="I52" s="184"/>
      <c r="J52" s="184"/>
      <c r="K52" s="186"/>
    </row>
    <row r="53" spans="1:11" x14ac:dyDescent="0.2">
      <c r="A53" s="189"/>
      <c r="B53" s="184"/>
      <c r="C53" s="184"/>
      <c r="D53" s="184"/>
      <c r="E53" s="184"/>
      <c r="F53" s="184"/>
      <c r="G53" s="184"/>
      <c r="H53" s="184"/>
      <c r="I53" s="184"/>
      <c r="J53" s="184"/>
      <c r="K53" s="186"/>
    </row>
    <row r="54" spans="1:11" x14ac:dyDescent="0.2">
      <c r="A54" s="189"/>
      <c r="B54" s="184"/>
      <c r="C54" s="184"/>
      <c r="D54" s="184"/>
      <c r="E54" s="184"/>
      <c r="F54" s="184"/>
      <c r="G54" s="184"/>
      <c r="H54" s="184"/>
      <c r="I54" s="184"/>
      <c r="J54" s="184"/>
      <c r="K54" s="186"/>
    </row>
    <row r="55" spans="1:11" x14ac:dyDescent="0.2">
      <c r="A55" s="189"/>
      <c r="B55" s="184"/>
      <c r="C55" s="184"/>
      <c r="D55" s="184"/>
      <c r="E55" s="184"/>
      <c r="F55" s="184"/>
      <c r="G55" s="184"/>
      <c r="H55" s="184"/>
      <c r="I55" s="184"/>
      <c r="J55" s="184"/>
      <c r="K55" s="186"/>
    </row>
    <row r="56" spans="1:11" x14ac:dyDescent="0.2">
      <c r="A56" s="189"/>
      <c r="B56" s="184"/>
      <c r="C56" s="184"/>
      <c r="D56" s="184"/>
      <c r="E56" s="184"/>
      <c r="F56" s="184"/>
      <c r="G56" s="184"/>
      <c r="H56" s="184"/>
      <c r="I56" s="184"/>
      <c r="J56" s="184"/>
      <c r="K56" s="186"/>
    </row>
    <row r="57" spans="1:11" x14ac:dyDescent="0.2">
      <c r="A57" s="189"/>
      <c r="B57" s="184"/>
      <c r="C57" s="184"/>
      <c r="D57" s="184"/>
      <c r="E57" s="184"/>
      <c r="F57" s="184"/>
      <c r="G57" s="184"/>
      <c r="H57" s="184"/>
      <c r="I57" s="184"/>
      <c r="J57" s="184"/>
      <c r="K57" s="186"/>
    </row>
    <row r="58" spans="1:11" x14ac:dyDescent="0.2">
      <c r="A58" s="189"/>
      <c r="B58" s="184"/>
      <c r="C58" s="184"/>
      <c r="D58" s="184"/>
      <c r="E58" s="184"/>
      <c r="F58" s="184"/>
      <c r="G58" s="184"/>
      <c r="H58" s="184"/>
      <c r="I58" s="184"/>
      <c r="J58" s="184"/>
      <c r="K58" s="186"/>
    </row>
    <row r="59" spans="1:11" x14ac:dyDescent="0.2">
      <c r="A59" s="189"/>
      <c r="B59" s="184"/>
      <c r="C59" s="184"/>
      <c r="D59" s="184"/>
      <c r="E59" s="184"/>
      <c r="F59" s="184"/>
      <c r="G59" s="184"/>
      <c r="H59" s="184"/>
      <c r="I59" s="184"/>
      <c r="J59" s="184"/>
      <c r="K59" s="186"/>
    </row>
    <row r="60" spans="1:11" x14ac:dyDescent="0.2">
      <c r="A60" s="189"/>
      <c r="B60" s="184"/>
      <c r="C60" s="184"/>
      <c r="D60" s="184"/>
      <c r="E60" s="184"/>
      <c r="F60" s="184"/>
      <c r="G60" s="184"/>
      <c r="H60" s="184"/>
      <c r="I60" s="184"/>
      <c r="J60" s="184"/>
      <c r="K60" s="186"/>
    </row>
    <row r="61" spans="1:11" x14ac:dyDescent="0.2">
      <c r="A61" s="189"/>
      <c r="B61" s="184"/>
      <c r="C61" s="184"/>
      <c r="D61" s="184"/>
      <c r="E61" s="184"/>
      <c r="F61" s="184"/>
      <c r="G61" s="184"/>
      <c r="H61" s="184"/>
      <c r="I61" s="184"/>
      <c r="J61" s="184"/>
      <c r="K61" s="186"/>
    </row>
    <row r="62" spans="1:11" x14ac:dyDescent="0.2">
      <c r="A62" s="189"/>
      <c r="B62" s="184"/>
      <c r="C62" s="184"/>
      <c r="D62" s="184"/>
      <c r="E62" s="184"/>
      <c r="F62" s="184"/>
      <c r="G62" s="184"/>
      <c r="H62" s="184"/>
      <c r="I62" s="184"/>
      <c r="J62" s="184"/>
      <c r="K62" s="186"/>
    </row>
    <row r="63" spans="1:11" x14ac:dyDescent="0.2">
      <c r="A63" s="189"/>
      <c r="B63" s="184"/>
      <c r="C63" s="184"/>
      <c r="D63" s="184"/>
      <c r="E63" s="184"/>
      <c r="F63" s="184"/>
      <c r="G63" s="184"/>
      <c r="H63" s="184"/>
      <c r="I63" s="184"/>
      <c r="J63" s="184"/>
      <c r="K63" s="186"/>
    </row>
    <row r="64" spans="1:11" x14ac:dyDescent="0.2">
      <c r="A64" s="189"/>
      <c r="B64" s="184"/>
      <c r="C64" s="184"/>
      <c r="D64" s="184"/>
      <c r="E64" s="184"/>
      <c r="F64" s="184"/>
      <c r="G64" s="184"/>
      <c r="H64" s="184"/>
      <c r="I64" s="184"/>
      <c r="J64" s="184"/>
      <c r="K64" s="186"/>
    </row>
    <row r="65" spans="1:11" x14ac:dyDescent="0.2">
      <c r="A65" s="189"/>
      <c r="B65" s="184"/>
      <c r="C65" s="184"/>
      <c r="D65" s="184"/>
      <c r="E65" s="184"/>
      <c r="F65" s="184"/>
      <c r="G65" s="184"/>
      <c r="H65" s="184"/>
      <c r="I65" s="184"/>
      <c r="J65" s="184"/>
      <c r="K65" s="186"/>
    </row>
    <row r="66" spans="1:11" x14ac:dyDescent="0.2">
      <c r="A66" s="189"/>
      <c r="B66" s="184"/>
      <c r="C66" s="184"/>
      <c r="D66" s="184"/>
      <c r="E66" s="184"/>
      <c r="F66" s="184"/>
      <c r="G66" s="184"/>
      <c r="H66" s="184"/>
      <c r="I66" s="184"/>
      <c r="J66" s="184"/>
      <c r="K66" s="186"/>
    </row>
    <row r="67" spans="1:11" x14ac:dyDescent="0.2">
      <c r="A67" s="189"/>
      <c r="B67" s="184"/>
      <c r="C67" s="184"/>
      <c r="D67" s="184"/>
      <c r="E67" s="184"/>
      <c r="F67" s="184"/>
      <c r="G67" s="184"/>
      <c r="H67" s="184"/>
      <c r="I67" s="184"/>
      <c r="J67" s="184"/>
      <c r="K67" s="186"/>
    </row>
    <row r="68" spans="1:11" x14ac:dyDescent="0.2">
      <c r="A68" s="189"/>
      <c r="B68" s="184"/>
      <c r="C68" s="184"/>
      <c r="D68" s="184"/>
      <c r="E68" s="184"/>
      <c r="F68" s="184"/>
      <c r="G68" s="184"/>
      <c r="H68" s="184"/>
      <c r="I68" s="184"/>
      <c r="J68" s="184"/>
      <c r="K68" s="186"/>
    </row>
    <row r="69" spans="1:11" x14ac:dyDescent="0.2">
      <c r="A69" s="189"/>
      <c r="B69" s="184"/>
      <c r="C69" s="184"/>
      <c r="D69" s="184"/>
      <c r="E69" s="184"/>
      <c r="F69" s="184"/>
      <c r="G69" s="184"/>
      <c r="H69" s="184"/>
      <c r="I69" s="184"/>
      <c r="J69" s="184"/>
      <c r="K69" s="186"/>
    </row>
    <row r="70" spans="1:11" x14ac:dyDescent="0.2">
      <c r="A70" s="189"/>
      <c r="B70" s="184"/>
      <c r="C70" s="184"/>
      <c r="D70" s="184"/>
      <c r="E70" s="184"/>
      <c r="F70" s="184"/>
      <c r="G70" s="184"/>
      <c r="H70" s="184"/>
      <c r="I70" s="184"/>
      <c r="J70" s="184"/>
      <c r="K70" s="186"/>
    </row>
    <row r="71" spans="1:11" x14ac:dyDescent="0.2">
      <c r="A71" s="189"/>
      <c r="B71" s="184"/>
      <c r="C71" s="184"/>
      <c r="D71" s="184"/>
      <c r="E71" s="184"/>
      <c r="F71" s="184"/>
      <c r="G71" s="184"/>
      <c r="H71" s="184"/>
      <c r="I71" s="184"/>
      <c r="J71" s="184"/>
      <c r="K71" s="186"/>
    </row>
    <row r="72" spans="1:11" x14ac:dyDescent="0.2">
      <c r="A72" s="189"/>
      <c r="B72" s="184"/>
      <c r="C72" s="184"/>
      <c r="D72" s="184"/>
      <c r="E72" s="184"/>
      <c r="F72" s="184"/>
      <c r="G72" s="184"/>
      <c r="H72" s="184"/>
      <c r="I72" s="184"/>
      <c r="J72" s="184"/>
      <c r="K72" s="186"/>
    </row>
    <row r="73" spans="1:11" x14ac:dyDescent="0.2">
      <c r="A73" s="189"/>
      <c r="B73" s="184"/>
      <c r="C73" s="184"/>
      <c r="D73" s="184"/>
      <c r="E73" s="184"/>
      <c r="F73" s="184"/>
      <c r="G73" s="184"/>
      <c r="H73" s="184"/>
      <c r="I73" s="184"/>
      <c r="J73" s="184"/>
      <c r="K73" s="186"/>
    </row>
    <row r="74" spans="1:11" x14ac:dyDescent="0.2">
      <c r="A74" s="189"/>
      <c r="B74" s="184"/>
      <c r="C74" s="184"/>
      <c r="D74" s="184"/>
      <c r="E74" s="184"/>
      <c r="F74" s="184"/>
      <c r="G74" s="184"/>
      <c r="H74" s="184"/>
      <c r="I74" s="184"/>
      <c r="J74" s="184"/>
      <c r="K74" s="186"/>
    </row>
    <row r="75" spans="1:11" x14ac:dyDescent="0.2">
      <c r="A75" s="189"/>
      <c r="B75" s="184"/>
      <c r="C75" s="184"/>
      <c r="D75" s="184"/>
      <c r="E75" s="184"/>
      <c r="F75" s="184"/>
      <c r="G75" s="184"/>
      <c r="H75" s="184"/>
      <c r="I75" s="184"/>
      <c r="J75" s="184"/>
      <c r="K75" s="186"/>
    </row>
    <row r="76" spans="1:11" x14ac:dyDescent="0.2">
      <c r="A76" s="189"/>
      <c r="B76" s="184"/>
      <c r="C76" s="184"/>
      <c r="D76" s="184"/>
      <c r="E76" s="184"/>
      <c r="F76" s="184"/>
      <c r="G76" s="184"/>
      <c r="H76" s="184"/>
      <c r="I76" s="184"/>
      <c r="J76" s="184"/>
      <c r="K76" s="186"/>
    </row>
    <row r="77" spans="1:11" x14ac:dyDescent="0.2">
      <c r="A77" s="189"/>
      <c r="B77" s="184"/>
      <c r="C77" s="184"/>
      <c r="D77" s="184"/>
      <c r="E77" s="184"/>
      <c r="F77" s="184"/>
      <c r="G77" s="184"/>
      <c r="H77" s="184"/>
      <c r="I77" s="184"/>
      <c r="J77" s="184"/>
      <c r="K77" s="186"/>
    </row>
    <row r="78" spans="1:11" x14ac:dyDescent="0.2">
      <c r="A78" s="189"/>
      <c r="B78" s="184"/>
      <c r="C78" s="184"/>
      <c r="D78" s="184"/>
      <c r="E78" s="184"/>
      <c r="F78" s="184"/>
      <c r="G78" s="184"/>
      <c r="H78" s="184"/>
      <c r="I78" s="184"/>
      <c r="J78" s="184"/>
      <c r="K78" s="186"/>
    </row>
    <row r="79" spans="1:11" x14ac:dyDescent="0.2">
      <c r="A79" s="189"/>
      <c r="B79" s="184"/>
      <c r="C79" s="184"/>
      <c r="D79" s="184"/>
      <c r="E79" s="184"/>
      <c r="F79" s="184"/>
      <c r="G79" s="184"/>
      <c r="H79" s="184"/>
      <c r="I79" s="184"/>
      <c r="J79" s="184"/>
      <c r="K79" s="186"/>
    </row>
    <row r="80" spans="1:11" x14ac:dyDescent="0.2">
      <c r="A80" s="189"/>
      <c r="B80" s="184"/>
      <c r="C80" s="184"/>
      <c r="D80" s="184"/>
      <c r="E80" s="184"/>
      <c r="F80" s="184"/>
      <c r="G80" s="184"/>
      <c r="H80" s="184"/>
      <c r="I80" s="184"/>
      <c r="J80" s="184"/>
      <c r="K80" s="186"/>
    </row>
    <row r="81" spans="1:11" x14ac:dyDescent="0.2">
      <c r="A81" s="189"/>
      <c r="B81" s="184"/>
      <c r="C81" s="184"/>
      <c r="D81" s="184"/>
      <c r="E81" s="184"/>
      <c r="F81" s="184"/>
      <c r="G81" s="184"/>
      <c r="H81" s="184"/>
      <c r="I81" s="184"/>
      <c r="J81" s="184"/>
      <c r="K81" s="186"/>
    </row>
    <row r="82" spans="1:11" x14ac:dyDescent="0.2">
      <c r="A82" s="189"/>
      <c r="B82" s="184"/>
      <c r="C82" s="184"/>
      <c r="D82" s="184"/>
      <c r="E82" s="184"/>
      <c r="F82" s="184"/>
      <c r="G82" s="184"/>
      <c r="H82" s="184"/>
      <c r="I82" s="184"/>
      <c r="J82" s="184"/>
      <c r="K82" s="186"/>
    </row>
    <row r="83" spans="1:11" x14ac:dyDescent="0.2">
      <c r="A83" s="189"/>
      <c r="B83" s="184"/>
      <c r="C83" s="184"/>
      <c r="D83" s="184"/>
      <c r="E83" s="184"/>
      <c r="F83" s="184"/>
      <c r="G83" s="184"/>
      <c r="H83" s="184"/>
      <c r="I83" s="184"/>
      <c r="J83" s="184"/>
      <c r="K83" s="186"/>
    </row>
    <row r="84" spans="1:11" x14ac:dyDescent="0.2">
      <c r="A84" s="189"/>
      <c r="B84" s="184"/>
      <c r="C84" s="184"/>
      <c r="D84" s="184"/>
      <c r="E84" s="184"/>
      <c r="F84" s="184"/>
      <c r="G84" s="184"/>
      <c r="H84" s="184"/>
      <c r="I84" s="184"/>
      <c r="J84" s="184"/>
      <c r="K84" s="186"/>
    </row>
    <row r="85" spans="1:11" x14ac:dyDescent="0.2">
      <c r="A85" s="189"/>
      <c r="B85" s="184"/>
      <c r="C85" s="184"/>
      <c r="D85" s="184"/>
      <c r="E85" s="184"/>
      <c r="F85" s="184"/>
      <c r="G85" s="184"/>
      <c r="H85" s="184"/>
      <c r="I85" s="184"/>
      <c r="J85" s="184"/>
      <c r="K85" s="186"/>
    </row>
    <row r="86" spans="1:11" x14ac:dyDescent="0.2">
      <c r="A86" s="189"/>
      <c r="B86" s="184"/>
      <c r="C86" s="184"/>
      <c r="D86" s="184"/>
      <c r="E86" s="184"/>
      <c r="F86" s="184"/>
      <c r="G86" s="184"/>
      <c r="H86" s="184"/>
      <c r="I86" s="184"/>
      <c r="J86" s="184"/>
      <c r="K86" s="186"/>
    </row>
    <row r="87" spans="1:11" x14ac:dyDescent="0.2">
      <c r="A87" s="189"/>
      <c r="B87" s="184"/>
      <c r="C87" s="184"/>
      <c r="D87" s="184"/>
      <c r="E87" s="184"/>
      <c r="F87" s="184"/>
      <c r="G87" s="184"/>
      <c r="H87" s="184"/>
      <c r="I87" s="184"/>
      <c r="J87" s="184"/>
      <c r="K87" s="186"/>
    </row>
    <row r="88" spans="1:11" x14ac:dyDescent="0.2">
      <c r="A88" s="189"/>
      <c r="B88" s="184"/>
      <c r="C88" s="184"/>
      <c r="D88" s="184"/>
      <c r="E88" s="184"/>
      <c r="F88" s="184"/>
      <c r="G88" s="184"/>
      <c r="H88" s="184"/>
      <c r="I88" s="184"/>
      <c r="J88" s="184"/>
      <c r="K88" s="186"/>
    </row>
    <row r="89" spans="1:11" x14ac:dyDescent="0.2">
      <c r="A89" s="189"/>
      <c r="B89" s="184"/>
      <c r="C89" s="184"/>
      <c r="D89" s="184"/>
      <c r="E89" s="184"/>
      <c r="F89" s="184"/>
      <c r="G89" s="184"/>
      <c r="H89" s="184"/>
      <c r="I89" s="184"/>
      <c r="J89" s="184"/>
      <c r="K89" s="186"/>
    </row>
    <row r="90" spans="1:11" x14ac:dyDescent="0.2">
      <c r="A90" s="189"/>
      <c r="B90" s="184"/>
      <c r="C90" s="184"/>
      <c r="D90" s="184"/>
      <c r="E90" s="184"/>
      <c r="F90" s="184"/>
      <c r="G90" s="184"/>
      <c r="H90" s="184"/>
      <c r="I90" s="184"/>
      <c r="J90" s="184"/>
      <c r="K90" s="186"/>
    </row>
    <row r="91" spans="1:11" x14ac:dyDescent="0.2">
      <c r="A91" s="189"/>
      <c r="B91" s="184"/>
      <c r="C91" s="184"/>
      <c r="D91" s="184"/>
      <c r="E91" s="184"/>
      <c r="F91" s="184"/>
      <c r="G91" s="184"/>
      <c r="H91" s="184"/>
      <c r="I91" s="184"/>
      <c r="J91" s="184"/>
      <c r="K91" s="186"/>
    </row>
    <row r="92" spans="1:11" x14ac:dyDescent="0.2">
      <c r="A92" s="189"/>
      <c r="B92" s="184"/>
      <c r="C92" s="184"/>
      <c r="D92" s="184"/>
      <c r="E92" s="184"/>
      <c r="F92" s="184"/>
      <c r="G92" s="184"/>
      <c r="H92" s="184"/>
      <c r="I92" s="184"/>
      <c r="J92" s="184"/>
      <c r="K92" s="186"/>
    </row>
    <row r="93" spans="1:11" x14ac:dyDescent="0.2">
      <c r="A93" s="189"/>
      <c r="B93" s="184"/>
      <c r="C93" s="184"/>
      <c r="D93" s="184"/>
      <c r="E93" s="184"/>
      <c r="F93" s="184"/>
      <c r="G93" s="184"/>
      <c r="H93" s="184"/>
      <c r="I93" s="184"/>
      <c r="J93" s="184"/>
      <c r="K93" s="186"/>
    </row>
    <row r="94" spans="1:11" x14ac:dyDescent="0.2">
      <c r="A94" s="189"/>
      <c r="B94" s="184"/>
      <c r="C94" s="184"/>
      <c r="D94" s="184"/>
      <c r="E94" s="184"/>
      <c r="F94" s="184"/>
      <c r="G94" s="184"/>
      <c r="H94" s="184"/>
      <c r="I94" s="184"/>
      <c r="J94" s="184"/>
      <c r="K94" s="186"/>
    </row>
    <row r="95" spans="1:11" x14ac:dyDescent="0.2">
      <c r="A95" s="189"/>
      <c r="B95" s="184"/>
      <c r="C95" s="184"/>
      <c r="D95" s="184"/>
      <c r="E95" s="184"/>
      <c r="F95" s="184"/>
      <c r="G95" s="184"/>
      <c r="H95" s="184"/>
      <c r="I95" s="184"/>
      <c r="J95" s="184"/>
      <c r="K95" s="186"/>
    </row>
    <row r="96" spans="1:11" x14ac:dyDescent="0.2">
      <c r="A96" s="189"/>
      <c r="B96" s="184"/>
      <c r="C96" s="184"/>
      <c r="D96" s="184"/>
      <c r="E96" s="184"/>
      <c r="F96" s="184"/>
      <c r="G96" s="184"/>
      <c r="H96" s="184"/>
      <c r="I96" s="184"/>
      <c r="J96" s="184"/>
      <c r="K96" s="186"/>
    </row>
    <row r="97" spans="1:11" x14ac:dyDescent="0.2">
      <c r="A97" s="189"/>
      <c r="B97" s="184"/>
      <c r="C97" s="184"/>
      <c r="D97" s="184"/>
      <c r="E97" s="184"/>
      <c r="F97" s="184"/>
      <c r="G97" s="184"/>
      <c r="H97" s="184"/>
      <c r="I97" s="184"/>
      <c r="J97" s="184"/>
      <c r="K97" s="186"/>
    </row>
    <row r="98" spans="1:11" x14ac:dyDescent="0.2">
      <c r="A98" s="189"/>
      <c r="B98" s="184"/>
      <c r="C98" s="184"/>
      <c r="D98" s="184"/>
      <c r="E98" s="184"/>
      <c r="F98" s="184"/>
      <c r="G98" s="184"/>
      <c r="H98" s="184"/>
      <c r="I98" s="184"/>
      <c r="J98" s="184"/>
      <c r="K98" s="186"/>
    </row>
    <row r="99" spans="1:11" x14ac:dyDescent="0.2">
      <c r="A99" s="189"/>
      <c r="B99" s="184"/>
      <c r="C99" s="184"/>
      <c r="D99" s="184"/>
      <c r="E99" s="184"/>
      <c r="F99" s="184"/>
      <c r="G99" s="184"/>
      <c r="H99" s="184"/>
      <c r="I99" s="184"/>
      <c r="J99" s="184"/>
      <c r="K99" s="186"/>
    </row>
    <row r="100" spans="1:11" x14ac:dyDescent="0.2">
      <c r="A100" s="189"/>
      <c r="B100" s="184"/>
      <c r="C100" s="184"/>
      <c r="D100" s="184"/>
      <c r="E100" s="184"/>
      <c r="F100" s="184"/>
      <c r="G100" s="184"/>
      <c r="H100" s="184"/>
      <c r="I100" s="184"/>
      <c r="J100" s="184"/>
      <c r="K100" s="186"/>
    </row>
    <row r="101" spans="1:11" ht="13.5" thickBot="1" x14ac:dyDescent="0.25">
      <c r="A101" s="190"/>
      <c r="B101" s="191"/>
      <c r="C101" s="191"/>
      <c r="D101" s="191"/>
      <c r="E101" s="191"/>
      <c r="F101" s="191"/>
      <c r="G101" s="191"/>
      <c r="H101" s="191"/>
      <c r="I101" s="191"/>
      <c r="J101" s="191"/>
      <c r="K101" s="192"/>
    </row>
  </sheetData>
  <sheetProtection sheet="1"/>
  <mergeCells count="2">
    <mergeCell ref="C19:J19"/>
    <mergeCell ref="A13:B13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topLeftCell="A6" zoomScale="75" workbookViewId="0">
      <selection activeCell="A17" sqref="A17"/>
    </sheetView>
  </sheetViews>
  <sheetFormatPr defaultRowHeight="12.75" x14ac:dyDescent="0.2"/>
  <cols>
    <col min="1" max="1" width="14.28515625" customWidth="1"/>
    <col min="2" max="2" width="12.5703125" customWidth="1"/>
    <col min="3" max="3" width="13.7109375" customWidth="1"/>
    <col min="4" max="4" width="15.5703125" customWidth="1"/>
    <col min="5" max="5" width="12" customWidth="1"/>
    <col min="6" max="6" width="10.7109375" customWidth="1"/>
    <col min="8" max="8" width="10.7109375" customWidth="1"/>
    <col min="9" max="9" width="13" customWidth="1"/>
  </cols>
  <sheetData>
    <row r="1" spans="1:11" ht="13.5" thickBot="1" x14ac:dyDescent="0.25">
      <c r="A1" s="266" t="s">
        <v>28</v>
      </c>
      <c r="B1" s="267"/>
      <c r="C1" s="267"/>
      <c r="D1" s="267"/>
      <c r="E1" s="267"/>
      <c r="F1" s="268"/>
    </row>
    <row r="2" spans="1:11" ht="39" thickBot="1" x14ac:dyDescent="0.25">
      <c r="A2" s="47" t="s">
        <v>29</v>
      </c>
      <c r="B2" s="48" t="s">
        <v>30</v>
      </c>
      <c r="C2" s="48" t="s">
        <v>31</v>
      </c>
      <c r="D2" s="48" t="s">
        <v>32</v>
      </c>
      <c r="E2" s="49" t="s">
        <v>33</v>
      </c>
      <c r="F2" s="49" t="s">
        <v>34</v>
      </c>
    </row>
    <row r="3" spans="1:11" ht="13.5" thickBot="1" x14ac:dyDescent="0.25">
      <c r="A3" s="60">
        <v>500</v>
      </c>
      <c r="B3" s="60">
        <v>100</v>
      </c>
      <c r="C3" s="61">
        <v>1</v>
      </c>
      <c r="D3" s="4">
        <f>((($A$3*3785.412)/1000000)*$B$3)/C3</f>
        <v>189.2706</v>
      </c>
      <c r="E3" s="50">
        <f>(D3*1440)/1000</f>
        <v>272.54966400000001</v>
      </c>
      <c r="F3" s="50">
        <f>E3/3.7854</f>
        <v>72.000228245363772</v>
      </c>
    </row>
    <row r="4" spans="1:11" ht="13.5" thickBot="1" x14ac:dyDescent="0.25"/>
    <row r="5" spans="1:11" ht="14.25" thickTop="1" thickBot="1" x14ac:dyDescent="0.25">
      <c r="A5" s="51"/>
      <c r="B5" s="52" t="s">
        <v>35</v>
      </c>
      <c r="C5" s="53"/>
      <c r="D5" s="54"/>
      <c r="E5" s="55"/>
      <c r="G5" s="51"/>
      <c r="H5" s="52" t="s">
        <v>35</v>
      </c>
      <c r="I5" s="53"/>
      <c r="J5" s="54"/>
      <c r="K5" s="55"/>
    </row>
    <row r="6" spans="1:11" ht="52.5" thickTop="1" thickBot="1" x14ac:dyDescent="0.25">
      <c r="A6" s="56" t="s">
        <v>36</v>
      </c>
      <c r="B6" s="56" t="s">
        <v>37</v>
      </c>
      <c r="C6" s="56" t="s">
        <v>38</v>
      </c>
      <c r="D6" s="56" t="s">
        <v>39</v>
      </c>
      <c r="E6" s="56" t="s">
        <v>40</v>
      </c>
      <c r="G6" s="56" t="s">
        <v>36</v>
      </c>
      <c r="H6" s="56" t="s">
        <v>75</v>
      </c>
      <c r="I6" s="56" t="s">
        <v>74</v>
      </c>
      <c r="J6" s="56" t="s">
        <v>39</v>
      </c>
      <c r="K6" s="56" t="s">
        <v>40</v>
      </c>
    </row>
    <row r="7" spans="1:11" ht="14.25" thickTop="1" thickBot="1" x14ac:dyDescent="0.25">
      <c r="A7" s="62">
        <v>500</v>
      </c>
      <c r="B7" s="63">
        <v>1</v>
      </c>
      <c r="C7" s="63">
        <v>4.82</v>
      </c>
      <c r="D7" s="57">
        <f>(A7*B7)/C7</f>
        <v>103.7344398340249</v>
      </c>
      <c r="E7" s="57">
        <f>A7-D7</f>
        <v>396.2655601659751</v>
      </c>
      <c r="G7" s="62">
        <v>500</v>
      </c>
      <c r="H7" s="64">
        <v>10</v>
      </c>
      <c r="I7" s="64">
        <v>50.44</v>
      </c>
      <c r="J7" s="57">
        <f>(G7*H7)/I7</f>
        <v>99.127676447264079</v>
      </c>
      <c r="K7" s="57">
        <f>G7-J7</f>
        <v>400.87232355273591</v>
      </c>
    </row>
    <row r="8" spans="1:11" ht="14.25" thickTop="1" thickBot="1" x14ac:dyDescent="0.25"/>
    <row r="9" spans="1:11" ht="14.25" thickTop="1" thickBot="1" x14ac:dyDescent="0.25">
      <c r="A9" s="51"/>
      <c r="B9" s="52" t="s">
        <v>41</v>
      </c>
      <c r="C9" s="53"/>
      <c r="D9" s="55"/>
      <c r="F9" s="264" t="s">
        <v>42</v>
      </c>
      <c r="G9" s="265"/>
      <c r="I9" s="264" t="s">
        <v>66</v>
      </c>
      <c r="J9" s="265"/>
    </row>
    <row r="10" spans="1:11" ht="39.75" thickTop="1" thickBot="1" x14ac:dyDescent="0.25">
      <c r="A10" s="56" t="s">
        <v>43</v>
      </c>
      <c r="B10" s="56" t="s">
        <v>44</v>
      </c>
      <c r="C10" s="56" t="s">
        <v>45</v>
      </c>
      <c r="D10" s="56" t="s">
        <v>46</v>
      </c>
      <c r="F10" s="56" t="s">
        <v>47</v>
      </c>
      <c r="G10" s="56" t="s">
        <v>48</v>
      </c>
      <c r="I10" s="56" t="s">
        <v>55</v>
      </c>
      <c r="J10" s="56" t="s">
        <v>67</v>
      </c>
    </row>
    <row r="11" spans="1:11" ht="14.25" thickTop="1" thickBot="1" x14ac:dyDescent="0.25">
      <c r="A11" s="62">
        <v>8.3000000000000007</v>
      </c>
      <c r="B11" s="64">
        <v>1</v>
      </c>
      <c r="C11" s="57">
        <f>D11*3.785412</f>
        <v>3.785412</v>
      </c>
      <c r="D11" s="57">
        <f>A11/(8.3*B11)</f>
        <v>1</v>
      </c>
      <c r="F11" s="64">
        <v>1</v>
      </c>
      <c r="G11" s="57">
        <f>F11*0.4536</f>
        <v>0.4536</v>
      </c>
      <c r="I11" s="64">
        <v>2</v>
      </c>
      <c r="J11" s="57">
        <f>I11*3.78512</f>
        <v>7.5702400000000001</v>
      </c>
    </row>
    <row r="12" spans="1:11" ht="14.25" customHeight="1" thickTop="1" thickBot="1" x14ac:dyDescent="0.25"/>
    <row r="13" spans="1:11" ht="15" customHeight="1" thickTop="1" thickBot="1" x14ac:dyDescent="0.25">
      <c r="A13" s="269" t="s">
        <v>49</v>
      </c>
      <c r="B13" s="270"/>
      <c r="C13" s="270"/>
      <c r="D13" s="271"/>
      <c r="F13" s="264" t="s">
        <v>50</v>
      </c>
      <c r="G13" s="265"/>
      <c r="I13" s="264" t="s">
        <v>68</v>
      </c>
      <c r="J13" s="265"/>
    </row>
    <row r="14" spans="1:11" ht="27" thickTop="1" thickBot="1" x14ac:dyDescent="0.25">
      <c r="A14" s="58" t="s">
        <v>51</v>
      </c>
      <c r="B14" s="58" t="s">
        <v>52</v>
      </c>
      <c r="C14" s="58" t="s">
        <v>47</v>
      </c>
      <c r="D14" s="58" t="s">
        <v>48</v>
      </c>
      <c r="F14" s="56" t="s">
        <v>48</v>
      </c>
      <c r="G14" s="56" t="s">
        <v>47</v>
      </c>
      <c r="I14" s="56" t="s">
        <v>67</v>
      </c>
      <c r="J14" s="56" t="s">
        <v>55</v>
      </c>
    </row>
    <row r="15" spans="1:11" ht="14.25" thickTop="1" thickBot="1" x14ac:dyDescent="0.25">
      <c r="A15" s="65">
        <v>1</v>
      </c>
      <c r="B15" s="66">
        <v>1</v>
      </c>
      <c r="C15" s="59">
        <f>A15*(8.3*B15)</f>
        <v>8.3000000000000007</v>
      </c>
      <c r="D15" s="57">
        <f>C15*0.4536</f>
        <v>3.7648800000000002</v>
      </c>
      <c r="F15" s="64">
        <v>1</v>
      </c>
      <c r="G15" s="57">
        <f>F15*2.2046</f>
        <v>2.2046000000000001</v>
      </c>
      <c r="I15" s="64">
        <v>1</v>
      </c>
      <c r="J15" s="57">
        <f>I15*0.2641721</f>
        <v>0.26417210000000002</v>
      </c>
    </row>
    <row r="16" spans="1:11" ht="14.25" thickTop="1" thickBot="1" x14ac:dyDescent="0.25"/>
    <row r="17" spans="1:11" x14ac:dyDescent="0.2">
      <c r="A17" s="199" t="s">
        <v>95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3"/>
    </row>
    <row r="18" spans="1:11" x14ac:dyDescent="0.2">
      <c r="A18" s="189"/>
      <c r="B18" s="184"/>
      <c r="C18" s="184"/>
      <c r="D18" s="184"/>
      <c r="E18" s="184"/>
      <c r="F18" s="184"/>
      <c r="G18" s="184"/>
      <c r="H18" s="184"/>
      <c r="I18" s="184"/>
      <c r="J18" s="184"/>
      <c r="K18" s="186"/>
    </row>
    <row r="19" spans="1:11" x14ac:dyDescent="0.2">
      <c r="A19" s="189"/>
      <c r="B19" s="184"/>
      <c r="C19" s="184"/>
      <c r="D19" s="184"/>
      <c r="E19" s="184"/>
      <c r="F19" s="184"/>
      <c r="G19" s="184"/>
      <c r="H19" s="184"/>
      <c r="I19" s="184"/>
      <c r="J19" s="184"/>
      <c r="K19" s="186"/>
    </row>
    <row r="20" spans="1:11" x14ac:dyDescent="0.2">
      <c r="A20" s="189"/>
      <c r="B20" s="184"/>
      <c r="C20" s="184"/>
      <c r="D20" s="184"/>
      <c r="E20" s="184"/>
      <c r="F20" s="184"/>
      <c r="G20" s="184"/>
      <c r="H20" s="184"/>
      <c r="I20" s="184"/>
      <c r="J20" s="184"/>
      <c r="K20" s="186"/>
    </row>
    <row r="21" spans="1:11" x14ac:dyDescent="0.2">
      <c r="A21" s="189"/>
      <c r="B21" s="184"/>
      <c r="C21" s="184"/>
      <c r="D21" s="184"/>
      <c r="E21" s="184"/>
      <c r="F21" s="184"/>
      <c r="G21" s="184"/>
      <c r="H21" s="184"/>
      <c r="I21" s="184"/>
      <c r="J21" s="184"/>
      <c r="K21" s="186"/>
    </row>
    <row r="22" spans="1:11" x14ac:dyDescent="0.2">
      <c r="A22" s="189"/>
      <c r="B22" s="184"/>
      <c r="C22" s="184"/>
      <c r="D22" s="184"/>
      <c r="E22" s="184"/>
      <c r="F22" s="184"/>
      <c r="G22" s="184"/>
      <c r="H22" s="184"/>
      <c r="I22" s="184"/>
      <c r="J22" s="184"/>
      <c r="K22" s="186"/>
    </row>
    <row r="23" spans="1:11" x14ac:dyDescent="0.2">
      <c r="A23" s="189"/>
      <c r="B23" s="184"/>
      <c r="C23" s="184"/>
      <c r="D23" s="184"/>
      <c r="E23" s="184"/>
      <c r="F23" s="184"/>
      <c r="G23" s="184"/>
      <c r="H23" s="184"/>
      <c r="I23" s="184"/>
      <c r="J23" s="184"/>
      <c r="K23" s="186"/>
    </row>
    <row r="24" spans="1:11" x14ac:dyDescent="0.2">
      <c r="A24" s="189"/>
      <c r="B24" s="184"/>
      <c r="C24" s="184"/>
      <c r="D24" s="184"/>
      <c r="E24" s="184"/>
      <c r="F24" s="184"/>
      <c r="G24" s="184"/>
      <c r="H24" s="184"/>
      <c r="I24" s="184"/>
      <c r="J24" s="184"/>
      <c r="K24" s="186"/>
    </row>
    <row r="25" spans="1:11" x14ac:dyDescent="0.2">
      <c r="A25" s="189"/>
      <c r="B25" s="184"/>
      <c r="C25" s="184"/>
      <c r="D25" s="184"/>
      <c r="E25" s="184"/>
      <c r="F25" s="184"/>
      <c r="G25" s="184"/>
      <c r="H25" s="184"/>
      <c r="I25" s="184"/>
      <c r="J25" s="184"/>
      <c r="K25" s="186"/>
    </row>
    <row r="26" spans="1:11" x14ac:dyDescent="0.2">
      <c r="A26" s="189"/>
      <c r="B26" s="184"/>
      <c r="C26" s="184"/>
      <c r="D26" s="184"/>
      <c r="E26" s="184"/>
      <c r="F26" s="184"/>
      <c r="G26" s="184"/>
      <c r="H26" s="184"/>
      <c r="I26" s="184"/>
      <c r="J26" s="184"/>
      <c r="K26" s="186"/>
    </row>
    <row r="27" spans="1:11" x14ac:dyDescent="0.2">
      <c r="A27" s="189"/>
      <c r="B27" s="184"/>
      <c r="C27" s="184"/>
      <c r="D27" s="184"/>
      <c r="E27" s="184"/>
      <c r="F27" s="184"/>
      <c r="G27" s="184"/>
      <c r="H27" s="184"/>
      <c r="I27" s="184"/>
      <c r="J27" s="184"/>
      <c r="K27" s="186"/>
    </row>
    <row r="28" spans="1:11" x14ac:dyDescent="0.2">
      <c r="A28" s="189"/>
      <c r="B28" s="184"/>
      <c r="C28" s="184"/>
      <c r="D28" s="184"/>
      <c r="E28" s="184"/>
      <c r="F28" s="184"/>
      <c r="G28" s="184"/>
      <c r="H28" s="184"/>
      <c r="I28" s="184"/>
      <c r="J28" s="184"/>
      <c r="K28" s="186"/>
    </row>
    <row r="29" spans="1:11" x14ac:dyDescent="0.2">
      <c r="A29" s="189"/>
      <c r="B29" s="184"/>
      <c r="C29" s="184"/>
      <c r="D29" s="184"/>
      <c r="E29" s="184"/>
      <c r="F29" s="184"/>
      <c r="G29" s="184"/>
      <c r="H29" s="184"/>
      <c r="I29" s="184"/>
      <c r="J29" s="184"/>
      <c r="K29" s="186"/>
    </row>
    <row r="30" spans="1:11" x14ac:dyDescent="0.2">
      <c r="A30" s="189"/>
      <c r="B30" s="184"/>
      <c r="C30" s="184"/>
      <c r="D30" s="184"/>
      <c r="E30" s="184"/>
      <c r="F30" s="184"/>
      <c r="G30" s="184"/>
      <c r="H30" s="184"/>
      <c r="I30" s="184"/>
      <c r="J30" s="184"/>
      <c r="K30" s="186"/>
    </row>
    <row r="31" spans="1:11" x14ac:dyDescent="0.2">
      <c r="A31" s="189"/>
      <c r="B31" s="184"/>
      <c r="C31" s="184"/>
      <c r="D31" s="184"/>
      <c r="E31" s="184"/>
      <c r="F31" s="184"/>
      <c r="G31" s="184"/>
      <c r="H31" s="184"/>
      <c r="I31" s="184"/>
      <c r="J31" s="184"/>
      <c r="K31" s="186"/>
    </row>
    <row r="32" spans="1:11" x14ac:dyDescent="0.2">
      <c r="A32" s="189"/>
      <c r="B32" s="184"/>
      <c r="C32" s="184"/>
      <c r="D32" s="184"/>
      <c r="E32" s="184"/>
      <c r="F32" s="184"/>
      <c r="G32" s="184"/>
      <c r="H32" s="184"/>
      <c r="I32" s="184"/>
      <c r="J32" s="184"/>
      <c r="K32" s="186"/>
    </row>
    <row r="33" spans="1:11" x14ac:dyDescent="0.2">
      <c r="A33" s="189"/>
      <c r="B33" s="184"/>
      <c r="C33" s="184"/>
      <c r="D33" s="184"/>
      <c r="E33" s="184"/>
      <c r="F33" s="184"/>
      <c r="G33" s="184"/>
      <c r="H33" s="184"/>
      <c r="I33" s="184"/>
      <c r="J33" s="184"/>
      <c r="K33" s="186"/>
    </row>
    <row r="34" spans="1:11" x14ac:dyDescent="0.2">
      <c r="A34" s="189"/>
      <c r="B34" s="184"/>
      <c r="C34" s="184"/>
      <c r="D34" s="184"/>
      <c r="E34" s="184"/>
      <c r="F34" s="184"/>
      <c r="G34" s="184"/>
      <c r="H34" s="184"/>
      <c r="I34" s="184"/>
      <c r="J34" s="184"/>
      <c r="K34" s="186"/>
    </row>
    <row r="35" spans="1:11" x14ac:dyDescent="0.2">
      <c r="A35" s="189"/>
      <c r="B35" s="184"/>
      <c r="C35" s="184"/>
      <c r="D35" s="184"/>
      <c r="E35" s="184"/>
      <c r="F35" s="184"/>
      <c r="G35" s="184"/>
      <c r="H35" s="184"/>
      <c r="I35" s="184"/>
      <c r="J35" s="184"/>
      <c r="K35" s="186"/>
    </row>
    <row r="36" spans="1:11" x14ac:dyDescent="0.2">
      <c r="A36" s="189"/>
      <c r="B36" s="184"/>
      <c r="C36" s="184"/>
      <c r="D36" s="184"/>
      <c r="E36" s="184"/>
      <c r="F36" s="184"/>
      <c r="G36" s="184"/>
      <c r="H36" s="184"/>
      <c r="I36" s="184"/>
      <c r="J36" s="184"/>
      <c r="K36" s="186"/>
    </row>
    <row r="37" spans="1:11" x14ac:dyDescent="0.2">
      <c r="A37" s="189"/>
      <c r="B37" s="184"/>
      <c r="C37" s="184"/>
      <c r="D37" s="184"/>
      <c r="E37" s="184"/>
      <c r="F37" s="184"/>
      <c r="G37" s="184"/>
      <c r="H37" s="184"/>
      <c r="I37" s="184"/>
      <c r="J37" s="184"/>
      <c r="K37" s="186"/>
    </row>
    <row r="38" spans="1:11" x14ac:dyDescent="0.2">
      <c r="A38" s="189"/>
      <c r="B38" s="184"/>
      <c r="C38" s="184"/>
      <c r="D38" s="184"/>
      <c r="E38" s="184"/>
      <c r="F38" s="184"/>
      <c r="G38" s="184"/>
      <c r="H38" s="184"/>
      <c r="I38" s="184"/>
      <c r="J38" s="184"/>
      <c r="K38" s="186"/>
    </row>
    <row r="39" spans="1:11" x14ac:dyDescent="0.2">
      <c r="A39" s="189"/>
      <c r="B39" s="184"/>
      <c r="C39" s="184"/>
      <c r="D39" s="184"/>
      <c r="E39" s="184"/>
      <c r="F39" s="184"/>
      <c r="G39" s="184"/>
      <c r="H39" s="184"/>
      <c r="I39" s="184"/>
      <c r="J39" s="184"/>
      <c r="K39" s="186"/>
    </row>
    <row r="40" spans="1:11" x14ac:dyDescent="0.2">
      <c r="A40" s="189"/>
      <c r="B40" s="184"/>
      <c r="C40" s="184"/>
      <c r="D40" s="184"/>
      <c r="E40" s="184"/>
      <c r="F40" s="184"/>
      <c r="G40" s="184"/>
      <c r="H40" s="184"/>
      <c r="I40" s="184"/>
      <c r="J40" s="184"/>
      <c r="K40" s="186"/>
    </row>
    <row r="41" spans="1:11" x14ac:dyDescent="0.2">
      <c r="A41" s="189"/>
      <c r="B41" s="184"/>
      <c r="C41" s="184"/>
      <c r="D41" s="184"/>
      <c r="E41" s="184"/>
      <c r="F41" s="184"/>
      <c r="G41" s="184"/>
      <c r="H41" s="184"/>
      <c r="I41" s="184"/>
      <c r="J41" s="184"/>
      <c r="K41" s="186"/>
    </row>
    <row r="42" spans="1:11" x14ac:dyDescent="0.2">
      <c r="A42" s="189"/>
      <c r="B42" s="184"/>
      <c r="C42" s="184"/>
      <c r="D42" s="184"/>
      <c r="E42" s="184"/>
      <c r="F42" s="184"/>
      <c r="G42" s="184"/>
      <c r="H42" s="184"/>
      <c r="I42" s="184"/>
      <c r="J42" s="184"/>
      <c r="K42" s="186"/>
    </row>
    <row r="43" spans="1:11" x14ac:dyDescent="0.2">
      <c r="A43" s="189"/>
      <c r="B43" s="184"/>
      <c r="C43" s="184"/>
      <c r="D43" s="184"/>
      <c r="E43" s="184"/>
      <c r="F43" s="184"/>
      <c r="G43" s="184"/>
      <c r="H43" s="184"/>
      <c r="I43" s="184"/>
      <c r="J43" s="184"/>
      <c r="K43" s="186"/>
    </row>
    <row r="44" spans="1:11" x14ac:dyDescent="0.2">
      <c r="A44" s="189"/>
      <c r="B44" s="184"/>
      <c r="C44" s="184"/>
      <c r="D44" s="184"/>
      <c r="E44" s="184"/>
      <c r="F44" s="184"/>
      <c r="G44" s="184"/>
      <c r="H44" s="184"/>
      <c r="I44" s="184"/>
      <c r="J44" s="184"/>
      <c r="K44" s="186"/>
    </row>
    <row r="45" spans="1:11" x14ac:dyDescent="0.2">
      <c r="A45" s="189"/>
      <c r="B45" s="184"/>
      <c r="C45" s="184"/>
      <c r="D45" s="184"/>
      <c r="E45" s="184"/>
      <c r="F45" s="184"/>
      <c r="G45" s="184"/>
      <c r="H45" s="184"/>
      <c r="I45" s="184"/>
      <c r="J45" s="184"/>
      <c r="K45" s="186"/>
    </row>
    <row r="46" spans="1:11" x14ac:dyDescent="0.2">
      <c r="A46" s="189"/>
      <c r="B46" s="184"/>
      <c r="C46" s="184"/>
      <c r="D46" s="184"/>
      <c r="E46" s="184"/>
      <c r="F46" s="184"/>
      <c r="G46" s="184"/>
      <c r="H46" s="184"/>
      <c r="I46" s="184"/>
      <c r="J46" s="184"/>
      <c r="K46" s="186"/>
    </row>
    <row r="47" spans="1:11" x14ac:dyDescent="0.2">
      <c r="A47" s="189"/>
      <c r="B47" s="184"/>
      <c r="C47" s="184"/>
      <c r="D47" s="184"/>
      <c r="E47" s="184"/>
      <c r="F47" s="184"/>
      <c r="G47" s="184"/>
      <c r="H47" s="184"/>
      <c r="I47" s="184"/>
      <c r="J47" s="184"/>
      <c r="K47" s="186"/>
    </row>
    <row r="48" spans="1:11" x14ac:dyDescent="0.2">
      <c r="A48" s="189"/>
      <c r="B48" s="184"/>
      <c r="C48" s="184"/>
      <c r="D48" s="184"/>
      <c r="E48" s="184"/>
      <c r="F48" s="184"/>
      <c r="G48" s="184"/>
      <c r="H48" s="184"/>
      <c r="I48" s="184"/>
      <c r="J48" s="184"/>
      <c r="K48" s="186"/>
    </row>
    <row r="49" spans="1:11" x14ac:dyDescent="0.2">
      <c r="A49" s="189"/>
      <c r="B49" s="184"/>
      <c r="C49" s="184"/>
      <c r="D49" s="184"/>
      <c r="E49" s="184"/>
      <c r="F49" s="184"/>
      <c r="G49" s="184"/>
      <c r="H49" s="184"/>
      <c r="I49" s="184"/>
      <c r="J49" s="184"/>
      <c r="K49" s="186"/>
    </row>
    <row r="50" spans="1:11" x14ac:dyDescent="0.2">
      <c r="A50" s="189"/>
      <c r="B50" s="184"/>
      <c r="C50" s="184"/>
      <c r="D50" s="184"/>
      <c r="E50" s="184"/>
      <c r="F50" s="184"/>
      <c r="G50" s="184"/>
      <c r="H50" s="184"/>
      <c r="I50" s="184"/>
      <c r="J50" s="184"/>
      <c r="K50" s="186"/>
    </row>
    <row r="51" spans="1:11" x14ac:dyDescent="0.2">
      <c r="A51" s="189"/>
      <c r="B51" s="184"/>
      <c r="C51" s="184"/>
      <c r="D51" s="184"/>
      <c r="E51" s="184"/>
      <c r="F51" s="184"/>
      <c r="G51" s="184"/>
      <c r="H51" s="184"/>
      <c r="I51" s="184"/>
      <c r="J51" s="184"/>
      <c r="K51" s="186"/>
    </row>
    <row r="52" spans="1:11" x14ac:dyDescent="0.2">
      <c r="A52" s="189"/>
      <c r="B52" s="184"/>
      <c r="C52" s="184"/>
      <c r="D52" s="184"/>
      <c r="E52" s="184"/>
      <c r="F52" s="184"/>
      <c r="G52" s="184"/>
      <c r="H52" s="184"/>
      <c r="I52" s="184"/>
      <c r="J52" s="184"/>
      <c r="K52" s="186"/>
    </row>
    <row r="53" spans="1:11" x14ac:dyDescent="0.2">
      <c r="A53" s="189"/>
      <c r="B53" s="184"/>
      <c r="C53" s="184"/>
      <c r="D53" s="184"/>
      <c r="E53" s="184"/>
      <c r="F53" s="184"/>
      <c r="G53" s="184"/>
      <c r="H53" s="184"/>
      <c r="I53" s="184"/>
      <c r="J53" s="184"/>
      <c r="K53" s="186"/>
    </row>
    <row r="54" spans="1:11" x14ac:dyDescent="0.2">
      <c r="A54" s="189"/>
      <c r="B54" s="184"/>
      <c r="C54" s="184"/>
      <c r="D54" s="184"/>
      <c r="E54" s="184"/>
      <c r="F54" s="184"/>
      <c r="G54" s="184"/>
      <c r="H54" s="184"/>
      <c r="I54" s="184"/>
      <c r="J54" s="184"/>
      <c r="K54" s="186"/>
    </row>
    <row r="55" spans="1:11" x14ac:dyDescent="0.2">
      <c r="A55" s="189"/>
      <c r="B55" s="184"/>
      <c r="C55" s="184"/>
      <c r="D55" s="184"/>
      <c r="E55" s="184"/>
      <c r="F55" s="184"/>
      <c r="G55" s="184"/>
      <c r="H55" s="184"/>
      <c r="I55" s="184"/>
      <c r="J55" s="184"/>
      <c r="K55" s="186"/>
    </row>
    <row r="56" spans="1:11" x14ac:dyDescent="0.2">
      <c r="A56" s="189"/>
      <c r="B56" s="184"/>
      <c r="C56" s="184"/>
      <c r="D56" s="184"/>
      <c r="E56" s="184"/>
      <c r="F56" s="184"/>
      <c r="G56" s="184"/>
      <c r="H56" s="184"/>
      <c r="I56" s="184"/>
      <c r="J56" s="184"/>
      <c r="K56" s="186"/>
    </row>
    <row r="57" spans="1:11" x14ac:dyDescent="0.2">
      <c r="A57" s="189"/>
      <c r="B57" s="184"/>
      <c r="C57" s="184"/>
      <c r="D57" s="184"/>
      <c r="E57" s="184"/>
      <c r="F57" s="184"/>
      <c r="G57" s="184"/>
      <c r="H57" s="184"/>
      <c r="I57" s="184"/>
      <c r="J57" s="184"/>
      <c r="K57" s="186"/>
    </row>
    <row r="58" spans="1:11" x14ac:dyDescent="0.2">
      <c r="A58" s="189"/>
      <c r="B58" s="184"/>
      <c r="C58" s="184"/>
      <c r="D58" s="184"/>
      <c r="E58" s="184"/>
      <c r="F58" s="184"/>
      <c r="G58" s="184"/>
      <c r="H58" s="184"/>
      <c r="I58" s="184"/>
      <c r="J58" s="184"/>
      <c r="K58" s="186"/>
    </row>
    <row r="59" spans="1:11" x14ac:dyDescent="0.2">
      <c r="A59" s="189"/>
      <c r="B59" s="184"/>
      <c r="C59" s="184"/>
      <c r="D59" s="184"/>
      <c r="E59" s="184"/>
      <c r="F59" s="184"/>
      <c r="G59" s="184"/>
      <c r="H59" s="184"/>
      <c r="I59" s="184"/>
      <c r="J59" s="184"/>
      <c r="K59" s="186"/>
    </row>
    <row r="60" spans="1:11" x14ac:dyDescent="0.2">
      <c r="A60" s="189"/>
      <c r="B60" s="184"/>
      <c r="C60" s="184"/>
      <c r="D60" s="184"/>
      <c r="E60" s="184"/>
      <c r="F60" s="184"/>
      <c r="G60" s="184"/>
      <c r="H60" s="184"/>
      <c r="I60" s="184"/>
      <c r="J60" s="184"/>
      <c r="K60" s="186"/>
    </row>
    <row r="61" spans="1:11" x14ac:dyDescent="0.2">
      <c r="A61" s="189"/>
      <c r="B61" s="184"/>
      <c r="C61" s="184"/>
      <c r="D61" s="184"/>
      <c r="E61" s="184"/>
      <c r="F61" s="184"/>
      <c r="G61" s="184"/>
      <c r="H61" s="184"/>
      <c r="I61" s="184"/>
      <c r="J61" s="184"/>
      <c r="K61" s="186"/>
    </row>
    <row r="62" spans="1:11" x14ac:dyDescent="0.2">
      <c r="A62" s="189"/>
      <c r="B62" s="184"/>
      <c r="C62" s="184"/>
      <c r="D62" s="184"/>
      <c r="E62" s="184"/>
      <c r="F62" s="184"/>
      <c r="G62" s="184"/>
      <c r="H62" s="184"/>
      <c r="I62" s="184"/>
      <c r="J62" s="184"/>
      <c r="K62" s="186"/>
    </row>
    <row r="63" spans="1:11" x14ac:dyDescent="0.2">
      <c r="A63" s="189"/>
      <c r="B63" s="184"/>
      <c r="C63" s="184"/>
      <c r="D63" s="184"/>
      <c r="E63" s="184"/>
      <c r="F63" s="184"/>
      <c r="G63" s="184"/>
      <c r="H63" s="184"/>
      <c r="I63" s="184"/>
      <c r="J63" s="184"/>
      <c r="K63" s="186"/>
    </row>
    <row r="64" spans="1:11" x14ac:dyDescent="0.2">
      <c r="A64" s="189"/>
      <c r="B64" s="184"/>
      <c r="C64" s="184"/>
      <c r="D64" s="184"/>
      <c r="E64" s="184"/>
      <c r="F64" s="184"/>
      <c r="G64" s="184"/>
      <c r="H64" s="184"/>
      <c r="I64" s="184"/>
      <c r="J64" s="184"/>
      <c r="K64" s="186"/>
    </row>
    <row r="65" spans="1:11" x14ac:dyDescent="0.2">
      <c r="A65" s="189"/>
      <c r="B65" s="184"/>
      <c r="C65" s="184"/>
      <c r="D65" s="184"/>
      <c r="E65" s="184"/>
      <c r="F65" s="184"/>
      <c r="G65" s="184"/>
      <c r="H65" s="184"/>
      <c r="I65" s="184"/>
      <c r="J65" s="184"/>
      <c r="K65" s="186"/>
    </row>
    <row r="66" spans="1:11" x14ac:dyDescent="0.2">
      <c r="A66" s="189"/>
      <c r="B66" s="184"/>
      <c r="C66" s="184"/>
      <c r="D66" s="184"/>
      <c r="E66" s="184"/>
      <c r="F66" s="184"/>
      <c r="G66" s="184"/>
      <c r="H66" s="184"/>
      <c r="I66" s="184"/>
      <c r="J66" s="184"/>
      <c r="K66" s="186"/>
    </row>
    <row r="67" spans="1:11" x14ac:dyDescent="0.2">
      <c r="A67" s="189"/>
      <c r="B67" s="184"/>
      <c r="C67" s="184"/>
      <c r="D67" s="184"/>
      <c r="E67" s="184"/>
      <c r="F67" s="184"/>
      <c r="G67" s="184"/>
      <c r="H67" s="184"/>
      <c r="I67" s="184"/>
      <c r="J67" s="184"/>
      <c r="K67" s="186"/>
    </row>
    <row r="68" spans="1:11" x14ac:dyDescent="0.2">
      <c r="A68" s="189"/>
      <c r="B68" s="184"/>
      <c r="C68" s="184"/>
      <c r="D68" s="184"/>
      <c r="E68" s="184"/>
      <c r="F68" s="184"/>
      <c r="G68" s="184"/>
      <c r="H68" s="184"/>
      <c r="I68" s="184"/>
      <c r="J68" s="184"/>
      <c r="K68" s="186"/>
    </row>
    <row r="69" spans="1:11" x14ac:dyDescent="0.2">
      <c r="A69" s="189"/>
      <c r="B69" s="184"/>
      <c r="C69" s="184"/>
      <c r="D69" s="184"/>
      <c r="E69" s="184"/>
      <c r="F69" s="184"/>
      <c r="G69" s="184"/>
      <c r="H69" s="184"/>
      <c r="I69" s="184"/>
      <c r="J69" s="184"/>
      <c r="K69" s="186"/>
    </row>
    <row r="70" spans="1:11" x14ac:dyDescent="0.2">
      <c r="A70" s="189"/>
      <c r="B70" s="184"/>
      <c r="C70" s="184"/>
      <c r="D70" s="184"/>
      <c r="E70" s="184"/>
      <c r="F70" s="184"/>
      <c r="G70" s="184"/>
      <c r="H70" s="184"/>
      <c r="I70" s="184"/>
      <c r="J70" s="184"/>
      <c r="K70" s="186"/>
    </row>
    <row r="71" spans="1:11" x14ac:dyDescent="0.2">
      <c r="A71" s="189"/>
      <c r="B71" s="184"/>
      <c r="C71" s="184"/>
      <c r="D71" s="184"/>
      <c r="E71" s="184"/>
      <c r="F71" s="184"/>
      <c r="G71" s="184"/>
      <c r="H71" s="184"/>
      <c r="I71" s="184"/>
      <c r="J71" s="184"/>
      <c r="K71" s="186"/>
    </row>
    <row r="72" spans="1:11" x14ac:dyDescent="0.2">
      <c r="A72" s="189"/>
      <c r="B72" s="184"/>
      <c r="C72" s="184"/>
      <c r="D72" s="184"/>
      <c r="E72" s="184"/>
      <c r="F72" s="184"/>
      <c r="G72" s="184"/>
      <c r="H72" s="184"/>
      <c r="I72" s="184"/>
      <c r="J72" s="184"/>
      <c r="K72" s="186"/>
    </row>
    <row r="73" spans="1:11" x14ac:dyDescent="0.2">
      <c r="A73" s="189"/>
      <c r="B73" s="184"/>
      <c r="C73" s="184"/>
      <c r="D73" s="184"/>
      <c r="E73" s="184"/>
      <c r="F73" s="184"/>
      <c r="G73" s="184"/>
      <c r="H73" s="184"/>
      <c r="I73" s="184"/>
      <c r="J73" s="184"/>
      <c r="K73" s="186"/>
    </row>
    <row r="74" spans="1:11" x14ac:dyDescent="0.2">
      <c r="A74" s="189"/>
      <c r="B74" s="184"/>
      <c r="C74" s="184"/>
      <c r="D74" s="184"/>
      <c r="E74" s="184"/>
      <c r="F74" s="184"/>
      <c r="G74" s="184"/>
      <c r="H74" s="184"/>
      <c r="I74" s="184"/>
      <c r="J74" s="184"/>
      <c r="K74" s="186"/>
    </row>
    <row r="75" spans="1:11" x14ac:dyDescent="0.2">
      <c r="A75" s="189"/>
      <c r="B75" s="184"/>
      <c r="C75" s="184"/>
      <c r="D75" s="184"/>
      <c r="E75" s="184"/>
      <c r="F75" s="184"/>
      <c r="G75" s="184"/>
      <c r="H75" s="184"/>
      <c r="I75" s="184"/>
      <c r="J75" s="184"/>
      <c r="K75" s="186"/>
    </row>
    <row r="76" spans="1:11" x14ac:dyDescent="0.2">
      <c r="A76" s="189"/>
      <c r="B76" s="184"/>
      <c r="C76" s="184"/>
      <c r="D76" s="184"/>
      <c r="E76" s="184"/>
      <c r="F76" s="184"/>
      <c r="G76" s="184"/>
      <c r="H76" s="184"/>
      <c r="I76" s="184"/>
      <c r="J76" s="184"/>
      <c r="K76" s="186"/>
    </row>
    <row r="77" spans="1:11" x14ac:dyDescent="0.2">
      <c r="A77" s="189"/>
      <c r="B77" s="184"/>
      <c r="C77" s="184"/>
      <c r="D77" s="184"/>
      <c r="E77" s="184"/>
      <c r="F77" s="184"/>
      <c r="G77" s="184"/>
      <c r="H77" s="184"/>
      <c r="I77" s="184"/>
      <c r="J77" s="184"/>
      <c r="K77" s="186"/>
    </row>
    <row r="78" spans="1:11" x14ac:dyDescent="0.2">
      <c r="A78" s="189"/>
      <c r="B78" s="184"/>
      <c r="C78" s="184"/>
      <c r="D78" s="184"/>
      <c r="E78" s="184"/>
      <c r="F78" s="184"/>
      <c r="G78" s="184"/>
      <c r="H78" s="184"/>
      <c r="I78" s="184"/>
      <c r="J78" s="184"/>
      <c r="K78" s="186"/>
    </row>
    <row r="79" spans="1:11" x14ac:dyDescent="0.2">
      <c r="A79" s="189"/>
      <c r="B79" s="184"/>
      <c r="C79" s="184"/>
      <c r="D79" s="184"/>
      <c r="E79" s="184"/>
      <c r="F79" s="184"/>
      <c r="G79" s="184"/>
      <c r="H79" s="184"/>
      <c r="I79" s="184"/>
      <c r="J79" s="184"/>
      <c r="K79" s="186"/>
    </row>
    <row r="80" spans="1:11" x14ac:dyDescent="0.2">
      <c r="A80" s="189"/>
      <c r="B80" s="184"/>
      <c r="C80" s="184"/>
      <c r="D80" s="184"/>
      <c r="E80" s="184"/>
      <c r="F80" s="184"/>
      <c r="G80" s="184"/>
      <c r="H80" s="184"/>
      <c r="I80" s="184"/>
      <c r="J80" s="184"/>
      <c r="K80" s="186"/>
    </row>
    <row r="81" spans="1:11" x14ac:dyDescent="0.2">
      <c r="A81" s="189"/>
      <c r="B81" s="184"/>
      <c r="C81" s="184"/>
      <c r="D81" s="184"/>
      <c r="E81" s="184"/>
      <c r="F81" s="184"/>
      <c r="G81" s="184"/>
      <c r="H81" s="184"/>
      <c r="I81" s="184"/>
      <c r="J81" s="184"/>
      <c r="K81" s="186"/>
    </row>
    <row r="82" spans="1:11" x14ac:dyDescent="0.2">
      <c r="A82" s="189"/>
      <c r="B82" s="184"/>
      <c r="C82" s="184"/>
      <c r="D82" s="184"/>
      <c r="E82" s="184"/>
      <c r="F82" s="184"/>
      <c r="G82" s="184"/>
      <c r="H82" s="184"/>
      <c r="I82" s="184"/>
      <c r="J82" s="184"/>
      <c r="K82" s="186"/>
    </row>
    <row r="83" spans="1:11" x14ac:dyDescent="0.2">
      <c r="A83" s="189"/>
      <c r="B83" s="184"/>
      <c r="C83" s="184"/>
      <c r="D83" s="184"/>
      <c r="E83" s="184"/>
      <c r="F83" s="184"/>
      <c r="G83" s="184"/>
      <c r="H83" s="184"/>
      <c r="I83" s="184"/>
      <c r="J83" s="184"/>
      <c r="K83" s="186"/>
    </row>
    <row r="84" spans="1:11" x14ac:dyDescent="0.2">
      <c r="A84" s="189"/>
      <c r="B84" s="184"/>
      <c r="C84" s="184"/>
      <c r="D84" s="184"/>
      <c r="E84" s="184"/>
      <c r="F84" s="184"/>
      <c r="G84" s="184"/>
      <c r="H84" s="184"/>
      <c r="I84" s="184"/>
      <c r="J84" s="184"/>
      <c r="K84" s="186"/>
    </row>
    <row r="85" spans="1:11" x14ac:dyDescent="0.2">
      <c r="A85" s="189"/>
      <c r="B85" s="184"/>
      <c r="C85" s="184"/>
      <c r="D85" s="184"/>
      <c r="E85" s="184"/>
      <c r="F85" s="184"/>
      <c r="G85" s="184"/>
      <c r="H85" s="184"/>
      <c r="I85" s="184"/>
      <c r="J85" s="184"/>
      <c r="K85" s="186"/>
    </row>
    <row r="86" spans="1:11" x14ac:dyDescent="0.2">
      <c r="A86" s="189"/>
      <c r="B86" s="184"/>
      <c r="C86" s="184"/>
      <c r="D86" s="184"/>
      <c r="E86" s="184"/>
      <c r="F86" s="184"/>
      <c r="G86" s="184"/>
      <c r="H86" s="184"/>
      <c r="I86" s="184"/>
      <c r="J86" s="184"/>
      <c r="K86" s="186"/>
    </row>
    <row r="87" spans="1:11" x14ac:dyDescent="0.2">
      <c r="A87" s="189"/>
      <c r="B87" s="184"/>
      <c r="C87" s="184"/>
      <c r="D87" s="184"/>
      <c r="E87" s="184"/>
      <c r="F87" s="184"/>
      <c r="G87" s="184"/>
      <c r="H87" s="184"/>
      <c r="I87" s="184"/>
      <c r="J87" s="184"/>
      <c r="K87" s="186"/>
    </row>
    <row r="88" spans="1:11" x14ac:dyDescent="0.2">
      <c r="A88" s="189"/>
      <c r="B88" s="184"/>
      <c r="C88" s="184"/>
      <c r="D88" s="184"/>
      <c r="E88" s="184"/>
      <c r="F88" s="184"/>
      <c r="G88" s="184"/>
      <c r="H88" s="184"/>
      <c r="I88" s="184"/>
      <c r="J88" s="184"/>
      <c r="K88" s="186"/>
    </row>
    <row r="89" spans="1:11" x14ac:dyDescent="0.2">
      <c r="A89" s="189"/>
      <c r="B89" s="184"/>
      <c r="C89" s="184"/>
      <c r="D89" s="184"/>
      <c r="E89" s="184"/>
      <c r="F89" s="184"/>
      <c r="G89" s="184"/>
      <c r="H89" s="184"/>
      <c r="I89" s="184"/>
      <c r="J89" s="184"/>
      <c r="K89" s="186"/>
    </row>
    <row r="90" spans="1:11" x14ac:dyDescent="0.2">
      <c r="A90" s="189"/>
      <c r="B90" s="184"/>
      <c r="C90" s="184"/>
      <c r="D90" s="184"/>
      <c r="E90" s="184"/>
      <c r="F90" s="184"/>
      <c r="G90" s="184"/>
      <c r="H90" s="184"/>
      <c r="I90" s="184"/>
      <c r="J90" s="184"/>
      <c r="K90" s="186"/>
    </row>
    <row r="91" spans="1:11" x14ac:dyDescent="0.2">
      <c r="A91" s="189"/>
      <c r="B91" s="184"/>
      <c r="C91" s="184"/>
      <c r="D91" s="184"/>
      <c r="E91" s="184"/>
      <c r="F91" s="184"/>
      <c r="G91" s="184"/>
      <c r="H91" s="184"/>
      <c r="I91" s="184"/>
      <c r="J91" s="184"/>
      <c r="K91" s="186"/>
    </row>
    <row r="92" spans="1:11" x14ac:dyDescent="0.2">
      <c r="A92" s="189"/>
      <c r="B92" s="184"/>
      <c r="C92" s="184"/>
      <c r="D92" s="184"/>
      <c r="E92" s="184"/>
      <c r="F92" s="184"/>
      <c r="G92" s="184"/>
      <c r="H92" s="184"/>
      <c r="I92" s="184"/>
      <c r="J92" s="184"/>
      <c r="K92" s="186"/>
    </row>
    <row r="93" spans="1:11" x14ac:dyDescent="0.2">
      <c r="A93" s="189"/>
      <c r="B93" s="184"/>
      <c r="C93" s="184"/>
      <c r="D93" s="184"/>
      <c r="E93" s="184"/>
      <c r="F93" s="184"/>
      <c r="G93" s="184"/>
      <c r="H93" s="184"/>
      <c r="I93" s="184"/>
      <c r="J93" s="184"/>
      <c r="K93" s="186"/>
    </row>
    <row r="94" spans="1:11" x14ac:dyDescent="0.2">
      <c r="A94" s="189"/>
      <c r="B94" s="184"/>
      <c r="C94" s="184"/>
      <c r="D94" s="184"/>
      <c r="E94" s="184"/>
      <c r="F94" s="184"/>
      <c r="G94" s="184"/>
      <c r="H94" s="184"/>
      <c r="I94" s="184"/>
      <c r="J94" s="184"/>
      <c r="K94" s="186"/>
    </row>
    <row r="95" spans="1:11" x14ac:dyDescent="0.2">
      <c r="A95" s="189"/>
      <c r="B95" s="184"/>
      <c r="C95" s="184"/>
      <c r="D95" s="184"/>
      <c r="E95" s="184"/>
      <c r="F95" s="184"/>
      <c r="G95" s="184"/>
      <c r="H95" s="184"/>
      <c r="I95" s="184"/>
      <c r="J95" s="184"/>
      <c r="K95" s="186"/>
    </row>
    <row r="96" spans="1:11" x14ac:dyDescent="0.2">
      <c r="A96" s="189"/>
      <c r="B96" s="184"/>
      <c r="C96" s="184"/>
      <c r="D96" s="184"/>
      <c r="E96" s="184"/>
      <c r="F96" s="184"/>
      <c r="G96" s="184"/>
      <c r="H96" s="184"/>
      <c r="I96" s="184"/>
      <c r="J96" s="184"/>
      <c r="K96" s="186"/>
    </row>
    <row r="97" spans="1:11" x14ac:dyDescent="0.2">
      <c r="A97" s="189"/>
      <c r="B97" s="184"/>
      <c r="C97" s="184"/>
      <c r="D97" s="184"/>
      <c r="E97" s="184"/>
      <c r="F97" s="184"/>
      <c r="G97" s="184"/>
      <c r="H97" s="184"/>
      <c r="I97" s="184"/>
      <c r="J97" s="184"/>
      <c r="K97" s="186"/>
    </row>
    <row r="98" spans="1:11" x14ac:dyDescent="0.2">
      <c r="A98" s="189"/>
      <c r="B98" s="184"/>
      <c r="C98" s="184"/>
      <c r="D98" s="184"/>
      <c r="E98" s="184"/>
      <c r="F98" s="184"/>
      <c r="G98" s="184"/>
      <c r="H98" s="184"/>
      <c r="I98" s="184"/>
      <c r="J98" s="184"/>
      <c r="K98" s="186"/>
    </row>
    <row r="99" spans="1:11" x14ac:dyDescent="0.2">
      <c r="A99" s="189"/>
      <c r="B99" s="184"/>
      <c r="C99" s="184"/>
      <c r="D99" s="184"/>
      <c r="E99" s="184"/>
      <c r="F99" s="184"/>
      <c r="G99" s="184"/>
      <c r="H99" s="184"/>
      <c r="I99" s="184"/>
      <c r="J99" s="184"/>
      <c r="K99" s="186"/>
    </row>
    <row r="100" spans="1:11" ht="13.5" thickBot="1" x14ac:dyDescent="0.25">
      <c r="A100" s="190"/>
      <c r="B100" s="191"/>
      <c r="C100" s="191"/>
      <c r="D100" s="191"/>
      <c r="E100" s="191"/>
      <c r="F100" s="191"/>
      <c r="G100" s="191"/>
      <c r="H100" s="191"/>
      <c r="I100" s="191"/>
      <c r="J100" s="191"/>
      <c r="K100" s="192"/>
    </row>
  </sheetData>
  <sheetProtection sheet="1"/>
  <mergeCells count="6">
    <mergeCell ref="I9:J9"/>
    <mergeCell ref="I13:J13"/>
    <mergeCell ref="A1:F1"/>
    <mergeCell ref="F9:G9"/>
    <mergeCell ref="A13:D13"/>
    <mergeCell ref="F13:G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8"/>
  <sheetViews>
    <sheetView zoomScale="75" workbookViewId="0">
      <selection activeCell="J65" sqref="J65"/>
    </sheetView>
  </sheetViews>
  <sheetFormatPr defaultRowHeight="12.75" x14ac:dyDescent="0.2"/>
  <cols>
    <col min="2" max="2" width="12.85546875" customWidth="1"/>
    <col min="3" max="3" width="14.85546875" customWidth="1"/>
    <col min="4" max="4" width="21.85546875" bestFit="1" customWidth="1"/>
    <col min="5" max="5" width="15.42578125" customWidth="1"/>
    <col min="6" max="6" width="2.5703125" customWidth="1"/>
    <col min="7" max="7" width="12.7109375" customWidth="1"/>
    <col min="10" max="10" width="12.140625" customWidth="1"/>
    <col min="11" max="11" width="11.85546875" customWidth="1"/>
    <col min="14" max="14" width="19.28515625" customWidth="1"/>
  </cols>
  <sheetData>
    <row r="1" spans="1:12" ht="26.25" thickBot="1" x14ac:dyDescent="0.4">
      <c r="A1" s="70" t="s">
        <v>56</v>
      </c>
      <c r="B1" s="7"/>
      <c r="C1" s="7"/>
      <c r="D1" s="7"/>
      <c r="E1" s="7"/>
      <c r="F1" s="8"/>
      <c r="G1" s="70" t="s">
        <v>62</v>
      </c>
      <c r="H1" s="7"/>
      <c r="I1" s="7"/>
      <c r="J1" s="7"/>
      <c r="K1" s="7"/>
      <c r="L1" s="8"/>
    </row>
    <row r="2" spans="1:12" ht="13.5" thickBot="1" x14ac:dyDescent="0.25">
      <c r="A2" s="9"/>
      <c r="B2" s="3"/>
      <c r="C2" s="3"/>
      <c r="D2" s="71" t="s">
        <v>57</v>
      </c>
      <c r="E2" s="39"/>
      <c r="F2" s="10"/>
      <c r="G2" s="9"/>
      <c r="H2" s="3"/>
      <c r="I2" s="1"/>
      <c r="J2" s="81" t="s">
        <v>63</v>
      </c>
      <c r="K2" s="82"/>
      <c r="L2" s="10"/>
    </row>
    <row r="3" spans="1:12" ht="13.5" thickBot="1" x14ac:dyDescent="0.25">
      <c r="A3" s="9"/>
      <c r="B3" s="3"/>
      <c r="C3" s="3"/>
      <c r="D3" s="3" t="s">
        <v>53</v>
      </c>
      <c r="E3" s="69">
        <v>4</v>
      </c>
      <c r="F3" s="10"/>
      <c r="G3" s="9"/>
      <c r="H3" s="3"/>
      <c r="I3" s="1"/>
      <c r="J3" s="78" t="s">
        <v>53</v>
      </c>
      <c r="K3" s="79">
        <v>4</v>
      </c>
      <c r="L3" s="10"/>
    </row>
    <row r="4" spans="1:12" ht="13.5" thickBot="1" x14ac:dyDescent="0.25">
      <c r="A4" s="9"/>
      <c r="B4" s="3"/>
      <c r="C4" s="3"/>
      <c r="D4" s="3" t="s">
        <v>11</v>
      </c>
      <c r="E4" s="68">
        <v>4</v>
      </c>
      <c r="F4" s="10"/>
      <c r="G4" s="9"/>
      <c r="H4" s="3"/>
      <c r="I4" s="1"/>
      <c r="J4" s="36" t="s">
        <v>60</v>
      </c>
      <c r="K4" s="77">
        <v>5</v>
      </c>
      <c r="L4" s="10"/>
    </row>
    <row r="5" spans="1:12" ht="13.5" thickBot="1" x14ac:dyDescent="0.25">
      <c r="A5" s="9"/>
      <c r="B5" s="3"/>
      <c r="C5" s="3"/>
      <c r="D5" s="3" t="s">
        <v>55</v>
      </c>
      <c r="E5" s="68"/>
      <c r="F5" s="10"/>
      <c r="G5" s="9"/>
      <c r="H5" s="3"/>
      <c r="I5" s="1"/>
      <c r="J5" s="36" t="s">
        <v>61</v>
      </c>
      <c r="K5" s="77"/>
      <c r="L5" s="10"/>
    </row>
    <row r="6" spans="1:12" ht="13.5" thickBot="1" x14ac:dyDescent="0.25">
      <c r="A6" s="9"/>
      <c r="B6" s="3"/>
      <c r="C6" s="3"/>
      <c r="D6" s="3"/>
      <c r="E6" s="3"/>
      <c r="F6" s="10"/>
      <c r="G6" s="9"/>
      <c r="H6" s="3"/>
      <c r="I6" s="1"/>
      <c r="J6" s="20" t="s">
        <v>55</v>
      </c>
      <c r="K6" s="76">
        <v>2000</v>
      </c>
      <c r="L6" s="10"/>
    </row>
    <row r="7" spans="1:12" ht="13.5" thickBot="1" x14ac:dyDescent="0.25">
      <c r="A7" s="9"/>
      <c r="B7" s="67" t="s">
        <v>53</v>
      </c>
      <c r="C7" s="1"/>
      <c r="D7" s="3"/>
      <c r="E7" s="3"/>
      <c r="F7" s="10"/>
      <c r="G7" s="9"/>
      <c r="H7" s="3"/>
      <c r="I7" s="1"/>
      <c r="J7" s="3"/>
      <c r="K7" s="3"/>
      <c r="L7" s="10"/>
    </row>
    <row r="8" spans="1:12" ht="13.5" thickBot="1" x14ac:dyDescent="0.25">
      <c r="A8" s="9"/>
      <c r="B8" s="1"/>
      <c r="C8" s="1"/>
      <c r="D8" s="3"/>
      <c r="E8" s="34"/>
      <c r="F8" s="10"/>
      <c r="G8" s="9"/>
      <c r="H8" s="3"/>
      <c r="I8" s="1"/>
      <c r="J8" s="78" t="s">
        <v>53</v>
      </c>
      <c r="K8" s="72">
        <f>IF(AND(K5=0,K4=0),0,IF(K3&gt;0,K3,K6/(K4*K5*7.48)))</f>
        <v>4</v>
      </c>
      <c r="L8" s="10"/>
    </row>
    <row r="9" spans="1:12" ht="13.5" thickBot="1" x14ac:dyDescent="0.25">
      <c r="A9" s="9"/>
      <c r="B9" s="3"/>
      <c r="C9" s="18" t="s">
        <v>53</v>
      </c>
      <c r="D9" s="72">
        <v>5</v>
      </c>
      <c r="E9" s="83"/>
      <c r="F9" s="10"/>
      <c r="G9" s="9"/>
      <c r="H9" s="3" t="s">
        <v>5</v>
      </c>
      <c r="I9" s="1"/>
      <c r="J9" s="36" t="s">
        <v>60</v>
      </c>
      <c r="K9" s="72">
        <f>IF(AND(K3=0,K5=0),0,IF(K4&gt;0,K4,K6/(K3*K5*7.48)))</f>
        <v>5</v>
      </c>
      <c r="L9" s="10"/>
    </row>
    <row r="10" spans="1:12" ht="13.5" thickBot="1" x14ac:dyDescent="0.25">
      <c r="A10" s="9"/>
      <c r="B10" s="3"/>
      <c r="C10" s="19" t="s">
        <v>11</v>
      </c>
      <c r="D10" s="72">
        <f>IF(AND(E4=0,E3=0),0,IF(E4&gt;0,E4,(SQRT(E5/(PI()*7.48*D9))*2)))</f>
        <v>4</v>
      </c>
      <c r="E10" s="83"/>
      <c r="F10" s="10"/>
      <c r="G10" s="9"/>
      <c r="H10" s="3"/>
      <c r="I10" s="1"/>
      <c r="J10" s="36" t="s">
        <v>61</v>
      </c>
      <c r="K10" s="72">
        <f>IF(AND(K3=0,K4=0),0,IF(K5&gt;0,K5,K6/(K3*K4*7.48)))</f>
        <v>13.36898395721925</v>
      </c>
      <c r="L10" s="10"/>
    </row>
    <row r="11" spans="1:12" ht="13.5" thickBot="1" x14ac:dyDescent="0.25">
      <c r="A11" s="9"/>
      <c r="B11" s="3"/>
      <c r="C11" s="19" t="s">
        <v>54</v>
      </c>
      <c r="D11" s="73">
        <f>(PI()*(D10/2)*(D10/2))*D9</f>
        <v>62.831853071795862</v>
      </c>
      <c r="E11" s="33"/>
      <c r="F11" s="10"/>
      <c r="G11" s="9"/>
      <c r="H11" s="3"/>
      <c r="I11" s="1"/>
      <c r="J11" s="20" t="s">
        <v>55</v>
      </c>
      <c r="K11" s="80">
        <f>K8*K9*K10*7.48</f>
        <v>2000</v>
      </c>
      <c r="L11" s="10"/>
    </row>
    <row r="12" spans="1:12" ht="13.5" thickBot="1" x14ac:dyDescent="0.25">
      <c r="A12" s="9"/>
      <c r="B12" s="3"/>
      <c r="C12" s="20" t="s">
        <v>55</v>
      </c>
      <c r="D12" s="74">
        <f>D11*7.48</f>
        <v>469.98226097703309</v>
      </c>
      <c r="E12" s="33"/>
      <c r="F12" s="10"/>
      <c r="G12" s="9"/>
      <c r="H12" s="3"/>
      <c r="I12" s="3"/>
      <c r="J12" s="3"/>
      <c r="K12" s="3"/>
      <c r="L12" s="10"/>
    </row>
    <row r="13" spans="1:12" x14ac:dyDescent="0.2">
      <c r="A13" s="9"/>
      <c r="B13" s="3"/>
      <c r="C13" s="3"/>
      <c r="D13" s="3"/>
      <c r="E13" s="3"/>
      <c r="F13" s="10"/>
      <c r="G13" s="9"/>
      <c r="H13" s="3" t="s">
        <v>58</v>
      </c>
      <c r="I13" s="3"/>
      <c r="J13" s="3"/>
      <c r="K13" s="3"/>
      <c r="L13" s="10"/>
    </row>
    <row r="14" spans="1:12" x14ac:dyDescent="0.2">
      <c r="A14" s="9"/>
      <c r="B14" s="3"/>
      <c r="C14" s="3"/>
      <c r="D14" s="3"/>
      <c r="E14" s="3"/>
      <c r="F14" s="10"/>
      <c r="G14" s="75" t="s">
        <v>59</v>
      </c>
      <c r="H14" s="3"/>
      <c r="I14" s="3"/>
      <c r="J14" s="3"/>
      <c r="K14" s="3"/>
      <c r="L14" s="10"/>
    </row>
    <row r="15" spans="1:12" ht="13.5" thickBot="1" x14ac:dyDescent="0.25">
      <c r="A15" s="9"/>
      <c r="B15" s="3"/>
      <c r="C15" s="3"/>
      <c r="D15" s="3"/>
      <c r="E15" s="3"/>
      <c r="F15" s="10"/>
      <c r="G15" s="9"/>
      <c r="H15" s="3"/>
      <c r="I15" s="3"/>
      <c r="J15" s="3"/>
      <c r="K15" s="3"/>
      <c r="L15" s="10"/>
    </row>
    <row r="16" spans="1:12" ht="18.75" thickBot="1" x14ac:dyDescent="0.3">
      <c r="A16" s="9"/>
      <c r="B16" s="67" t="s">
        <v>11</v>
      </c>
      <c r="D16" s="3"/>
      <c r="E16" s="3"/>
      <c r="F16" s="10"/>
      <c r="G16" s="9"/>
      <c r="H16" s="3"/>
      <c r="I16" s="84" t="s">
        <v>64</v>
      </c>
      <c r="J16" s="85"/>
      <c r="K16" s="39"/>
      <c r="L16" s="10"/>
    </row>
    <row r="17" spans="1:12" ht="13.5" thickBot="1" x14ac:dyDescent="0.25">
      <c r="A17" s="9"/>
      <c r="B17" s="3"/>
      <c r="C17" s="3"/>
      <c r="D17" s="3"/>
      <c r="E17" s="3"/>
      <c r="F17" s="10"/>
      <c r="G17" s="9"/>
      <c r="H17" s="3"/>
      <c r="I17" s="3"/>
      <c r="J17" s="3"/>
      <c r="K17" s="3"/>
      <c r="L17" s="10"/>
    </row>
    <row r="18" spans="1:12" ht="15.75" thickBot="1" x14ac:dyDescent="0.25">
      <c r="A18" s="9"/>
      <c r="B18" s="3"/>
      <c r="C18" s="3"/>
      <c r="D18" s="86" t="s">
        <v>65</v>
      </c>
      <c r="E18" s="39"/>
      <c r="F18" s="10"/>
      <c r="G18" s="9"/>
      <c r="H18" s="3"/>
      <c r="I18" s="3"/>
      <c r="J18" s="3"/>
      <c r="K18" s="3"/>
      <c r="L18" s="10"/>
    </row>
    <row r="19" spans="1:12" x14ac:dyDescent="0.2">
      <c r="A19" s="9"/>
      <c r="B19" s="3"/>
      <c r="C19" s="3"/>
      <c r="D19" s="3"/>
      <c r="E19" s="3"/>
      <c r="F19" s="10"/>
      <c r="G19" s="9"/>
      <c r="H19" s="3"/>
      <c r="I19" s="3"/>
      <c r="J19" s="3"/>
      <c r="K19" s="3"/>
      <c r="L19" s="10"/>
    </row>
    <row r="20" spans="1:12" x14ac:dyDescent="0.2">
      <c r="A20" s="9"/>
      <c r="B20" s="3"/>
      <c r="C20" s="3"/>
      <c r="D20" s="3"/>
      <c r="E20" s="3"/>
      <c r="F20" s="10"/>
      <c r="G20" s="9"/>
      <c r="H20" s="3"/>
      <c r="I20" s="3"/>
      <c r="J20" s="3"/>
      <c r="K20" s="3"/>
      <c r="L20" s="10"/>
    </row>
    <row r="21" spans="1:12" ht="13.5" thickBot="1" x14ac:dyDescent="0.25">
      <c r="A21" s="9"/>
      <c r="B21" s="3"/>
      <c r="C21" s="3"/>
      <c r="D21" s="3"/>
      <c r="E21" s="148"/>
      <c r="F21" s="17"/>
      <c r="G21" s="3"/>
      <c r="H21" s="3"/>
      <c r="I21" s="3"/>
      <c r="J21" s="3"/>
      <c r="K21" s="3"/>
      <c r="L21" s="10"/>
    </row>
    <row r="22" spans="1:12" ht="13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149"/>
    </row>
    <row r="23" spans="1:12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10"/>
    </row>
    <row r="24" spans="1:12" ht="27" x14ac:dyDescent="0.35">
      <c r="A24" s="9"/>
      <c r="B24" s="3"/>
      <c r="C24" s="3"/>
      <c r="D24" s="3"/>
      <c r="E24" s="144" t="s">
        <v>89</v>
      </c>
      <c r="F24" s="3"/>
      <c r="G24" s="3"/>
      <c r="H24" s="3"/>
      <c r="I24" s="3"/>
      <c r="J24" s="3"/>
      <c r="K24" s="3"/>
      <c r="L24" s="10"/>
    </row>
    <row r="25" spans="1:12" ht="15" x14ac:dyDescent="0.2">
      <c r="A25" s="9"/>
      <c r="B25" s="3"/>
      <c r="C25" s="3"/>
      <c r="D25" s="3"/>
      <c r="E25" s="145" t="s">
        <v>90</v>
      </c>
      <c r="F25" s="3"/>
      <c r="G25" s="3"/>
      <c r="H25" s="3"/>
      <c r="I25" s="3"/>
      <c r="J25" s="3"/>
      <c r="K25" s="3"/>
      <c r="L25" s="10"/>
    </row>
    <row r="26" spans="1:12" x14ac:dyDescent="0.2">
      <c r="A26" s="9"/>
      <c r="B26" s="3"/>
      <c r="C26" s="3"/>
      <c r="D26" s="3"/>
      <c r="E26" s="3" t="s">
        <v>91</v>
      </c>
      <c r="F26" s="3"/>
      <c r="G26" s="3"/>
      <c r="H26" s="3"/>
      <c r="I26" s="3"/>
      <c r="J26" s="3"/>
      <c r="K26" s="3"/>
      <c r="L26" s="10"/>
    </row>
    <row r="27" spans="1:12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10"/>
    </row>
    <row r="28" spans="1:12" x14ac:dyDescent="0.2">
      <c r="A28" s="9"/>
      <c r="B28" s="3"/>
      <c r="C28" s="3"/>
      <c r="D28" s="3"/>
      <c r="E28" s="110"/>
      <c r="F28" s="3"/>
      <c r="G28" s="3"/>
      <c r="H28" s="3"/>
      <c r="I28" s="3"/>
      <c r="J28" s="3"/>
      <c r="K28" s="3"/>
      <c r="L28" s="10"/>
    </row>
    <row r="29" spans="1:12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10"/>
    </row>
    <row r="30" spans="1:12" ht="13.5" thickBot="1" x14ac:dyDescent="0.25">
      <c r="A30" s="9"/>
      <c r="B30" s="3"/>
      <c r="C30" s="3"/>
      <c r="D30" s="3"/>
      <c r="E30" s="110"/>
      <c r="F30" s="3"/>
      <c r="G30" s="3"/>
      <c r="H30" s="3"/>
      <c r="I30" s="3"/>
      <c r="J30" s="3"/>
      <c r="K30" s="3"/>
      <c r="L30" s="10"/>
    </row>
    <row r="31" spans="1:12" ht="15" x14ac:dyDescent="0.2">
      <c r="A31" s="9"/>
      <c r="B31" s="146" t="s">
        <v>11</v>
      </c>
      <c r="C31" s="154">
        <v>100</v>
      </c>
      <c r="D31" s="3"/>
      <c r="E31" s="3"/>
      <c r="F31" s="3"/>
      <c r="G31" s="3"/>
      <c r="H31" s="3"/>
      <c r="I31" s="3"/>
      <c r="J31" s="3"/>
      <c r="K31" s="3"/>
      <c r="L31" s="10"/>
    </row>
    <row r="32" spans="1:12" ht="15" x14ac:dyDescent="0.2">
      <c r="A32" s="9"/>
      <c r="B32" s="146" t="s">
        <v>92</v>
      </c>
      <c r="C32" s="155">
        <v>1</v>
      </c>
      <c r="D32" s="3"/>
      <c r="E32" s="3"/>
      <c r="F32" s="3"/>
      <c r="G32" s="3"/>
      <c r="H32" s="3"/>
      <c r="I32" s="3"/>
      <c r="J32" s="3"/>
      <c r="K32" s="3"/>
      <c r="L32" s="10"/>
    </row>
    <row r="33" spans="1:12" ht="15.75" thickBot="1" x14ac:dyDescent="0.25">
      <c r="A33" s="9"/>
      <c r="B33" s="146" t="s">
        <v>93</v>
      </c>
      <c r="C33" s="156">
        <v>7.7480491866843018</v>
      </c>
      <c r="D33" s="3"/>
      <c r="E33" s="3"/>
      <c r="F33" s="3"/>
      <c r="G33" s="3"/>
      <c r="H33" s="3"/>
      <c r="I33" s="3"/>
      <c r="J33" s="3"/>
      <c r="K33" s="3"/>
      <c r="L33" s="10"/>
    </row>
    <row r="34" spans="1:12" x14ac:dyDescent="0.2">
      <c r="A34" s="9"/>
      <c r="B34" s="3"/>
      <c r="C34" s="157"/>
      <c r="D34" s="3"/>
      <c r="E34" s="3"/>
      <c r="F34" s="3"/>
      <c r="G34" s="3"/>
      <c r="H34" s="3"/>
      <c r="I34" s="3"/>
      <c r="J34" s="3"/>
      <c r="K34" s="3"/>
      <c r="L34" s="10"/>
    </row>
    <row r="35" spans="1:12" ht="13.5" thickBot="1" x14ac:dyDescent="0.25">
      <c r="A35" s="9"/>
      <c r="B35" s="3"/>
      <c r="C35" s="157"/>
      <c r="D35" s="3"/>
      <c r="E35" s="3"/>
      <c r="F35" s="3"/>
      <c r="G35" s="3"/>
      <c r="H35" s="3"/>
      <c r="I35" s="3"/>
      <c r="J35" s="3"/>
      <c r="K35" s="3"/>
      <c r="L35" s="10"/>
    </row>
    <row r="36" spans="1:12" ht="15" x14ac:dyDescent="0.2">
      <c r="A36" s="9"/>
      <c r="B36" s="146" t="s">
        <v>94</v>
      </c>
      <c r="C36" s="142">
        <f>IF(C33*2&gt;C31,(((((DEGREES(ASIN(((SQRT(8*C31/2*((C31/2)-(C31/4))))/2)/(C31/2))))*2)/360)*PI()*(C31/2)^2)-((SQRT(8*C31/2*((C31/2)-(C31/4))))/2)*((C31/2)-C31/2))*C32-(((((DEGREES(ASIN(((SQRT(8*((C31/2)-(C33-(C31/2)))*((C31/2)-((((C31/2)-(C33-(C31/2)))/2)))))/2)/(C31/2))))*2)/360)*PI()*(C31/2)^2)-((SQRT(8*((C31/2)-(C33-(C31/2)))*((C31/2)-((((C31/2)-(C33-(C31/2)))/2)))))/2)*((C31/2)-((C31/2)-(C33-(C31/2)))))*C32+(((((DEGREES(ASIN(((SQRT(8*C31/2*((C31/2)-(C31/4))))/2)/(C31/2))))*2)/360)*PI()*(C31/2)^2)-((SQRT(8*C31/2*((C31/2)-(C31/4))))/2)*((C31/2)-C31/2))*C32,(((((DEGREES(ASIN(((SQRT(8*C33*((C31/2)-(C33/2))))/2)/(C31/2))))*2)/360)*PI()*(C31/2)^2)-((SQRT(8*C33*((C31/2)-(C33/2))))/2)*((C31/2)-C33))*C32)</f>
        <v>280.77976500032946</v>
      </c>
      <c r="D36" s="3"/>
      <c r="E36" s="3"/>
      <c r="F36" s="3"/>
      <c r="G36" s="3"/>
      <c r="H36" s="3"/>
      <c r="I36" s="3"/>
      <c r="J36" s="3"/>
      <c r="K36" s="3"/>
      <c r="L36" s="10"/>
    </row>
    <row r="37" spans="1:12" ht="15.75" thickBot="1" x14ac:dyDescent="0.25">
      <c r="A37" s="9"/>
      <c r="B37" s="146" t="s">
        <v>55</v>
      </c>
      <c r="C37" s="143">
        <f>$C$36/231</f>
        <v>1.2154968181832444</v>
      </c>
      <c r="D37" s="3"/>
      <c r="E37" s="3"/>
      <c r="F37" s="3"/>
      <c r="G37" s="3"/>
      <c r="H37" s="3"/>
      <c r="I37" s="3"/>
      <c r="J37" s="3"/>
      <c r="K37" s="3"/>
      <c r="L37" s="10"/>
    </row>
    <row r="38" spans="1:12" ht="13.5" thickBot="1" x14ac:dyDescent="0.25">
      <c r="A38" s="9"/>
      <c r="B38" s="3"/>
      <c r="C38" s="158"/>
      <c r="D38" s="3"/>
      <c r="E38" s="3"/>
      <c r="F38" s="3"/>
      <c r="G38" s="3"/>
      <c r="H38" s="3"/>
      <c r="I38" s="3"/>
      <c r="J38" s="3"/>
      <c r="K38" s="3"/>
      <c r="L38" s="10"/>
    </row>
    <row r="39" spans="1:12" ht="15.75" thickBot="1" x14ac:dyDescent="0.25">
      <c r="A39" s="9"/>
      <c r="B39" s="146" t="s">
        <v>96</v>
      </c>
      <c r="C39" s="153">
        <f>((PI()*(C31/2)^2)*C32)/231</f>
        <v>33.999920493396033</v>
      </c>
      <c r="D39" s="145" t="s">
        <v>55</v>
      </c>
      <c r="E39" s="3"/>
      <c r="F39" s="3"/>
      <c r="G39" s="3"/>
      <c r="H39" s="3"/>
      <c r="I39" s="3"/>
      <c r="J39" s="3"/>
      <c r="K39" s="3"/>
      <c r="L39" s="10"/>
    </row>
    <row r="40" spans="1:12" x14ac:dyDescent="0.2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10"/>
    </row>
    <row r="41" spans="1:12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10"/>
    </row>
    <row r="42" spans="1:12" x14ac:dyDescent="0.2">
      <c r="A42" s="9"/>
      <c r="B42" s="2"/>
      <c r="C42" s="147"/>
      <c r="D42" s="3"/>
      <c r="E42" s="3"/>
      <c r="F42" s="3"/>
      <c r="G42" s="3"/>
      <c r="H42" s="3"/>
      <c r="I42" s="3"/>
      <c r="J42" s="3"/>
      <c r="K42" s="3"/>
      <c r="L42" s="10"/>
    </row>
    <row r="43" spans="1:12" x14ac:dyDescent="0.2">
      <c r="A43" s="9"/>
      <c r="B43" s="2"/>
      <c r="C43" s="147"/>
      <c r="D43" s="3"/>
      <c r="E43" s="3"/>
      <c r="F43" s="3"/>
      <c r="G43" s="3"/>
      <c r="H43" s="3"/>
      <c r="I43" s="3"/>
      <c r="J43" s="3"/>
      <c r="K43" s="3"/>
      <c r="L43" s="10"/>
    </row>
    <row r="44" spans="1:12" x14ac:dyDescent="0.2">
      <c r="A44" s="9"/>
      <c r="B44" s="2"/>
      <c r="C44" s="147"/>
      <c r="D44" s="3"/>
      <c r="E44" s="3"/>
      <c r="F44" s="3"/>
      <c r="G44" s="3"/>
      <c r="H44" s="3"/>
      <c r="I44" s="3"/>
      <c r="J44" s="3"/>
      <c r="K44" s="3"/>
      <c r="L44" s="10"/>
    </row>
    <row r="45" spans="1:12" x14ac:dyDescent="0.2">
      <c r="A45" s="9"/>
      <c r="B45" s="2"/>
      <c r="C45" s="147"/>
      <c r="D45" s="3"/>
      <c r="E45" s="3"/>
      <c r="F45" s="3"/>
      <c r="G45" s="3"/>
      <c r="H45" s="3"/>
      <c r="I45" s="3"/>
      <c r="J45" s="3"/>
      <c r="K45" s="3"/>
      <c r="L45" s="10"/>
    </row>
    <row r="46" spans="1:12" x14ac:dyDescent="0.2">
      <c r="A46" s="9"/>
      <c r="B46" s="2"/>
      <c r="C46" s="147"/>
      <c r="D46" s="3"/>
      <c r="E46" s="3"/>
      <c r="F46" s="3"/>
      <c r="G46" s="3"/>
      <c r="H46" s="3"/>
      <c r="I46" s="3"/>
      <c r="J46" s="3"/>
      <c r="K46" s="3"/>
      <c r="L46" s="10"/>
    </row>
    <row r="47" spans="1:12" x14ac:dyDescent="0.2">
      <c r="A47" s="9"/>
      <c r="B47" s="2"/>
      <c r="C47" s="147"/>
      <c r="D47" s="3"/>
      <c r="E47" s="3"/>
      <c r="F47" s="3"/>
      <c r="G47" s="3"/>
      <c r="H47" s="3"/>
      <c r="I47" s="3"/>
      <c r="J47" s="3"/>
      <c r="K47" s="3"/>
      <c r="L47" s="10"/>
    </row>
    <row r="48" spans="1:12" x14ac:dyDescent="0.2">
      <c r="A48" s="9"/>
      <c r="B48" s="2"/>
      <c r="C48" s="147"/>
      <c r="D48" s="3"/>
      <c r="E48" s="3"/>
      <c r="F48" s="3"/>
      <c r="G48" s="3"/>
      <c r="H48" s="3"/>
      <c r="I48" s="3"/>
      <c r="J48" s="3"/>
      <c r="K48" s="3"/>
      <c r="L48" s="10"/>
    </row>
    <row r="49" spans="1:12" x14ac:dyDescent="0.2">
      <c r="A49" s="9"/>
      <c r="B49" s="2"/>
      <c r="C49" s="147"/>
      <c r="D49" s="3"/>
      <c r="E49" s="3"/>
      <c r="F49" s="3"/>
      <c r="G49" s="3"/>
      <c r="H49" s="3"/>
      <c r="I49" s="3"/>
      <c r="J49" s="3"/>
      <c r="K49" s="3"/>
      <c r="L49" s="10"/>
    </row>
    <row r="50" spans="1:12" x14ac:dyDescent="0.2">
      <c r="A50" s="9"/>
      <c r="B50" s="3"/>
      <c r="C50" s="147"/>
      <c r="D50" s="3"/>
      <c r="E50" s="3"/>
      <c r="F50" s="3"/>
      <c r="G50" s="3"/>
      <c r="H50" s="3"/>
      <c r="I50" s="3"/>
      <c r="J50" s="3"/>
      <c r="K50" s="3"/>
      <c r="L50" s="10"/>
    </row>
    <row r="51" spans="1:12" x14ac:dyDescent="0.2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10"/>
    </row>
    <row r="52" spans="1:12" x14ac:dyDescent="0.2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10"/>
    </row>
    <row r="53" spans="1:12" x14ac:dyDescent="0.2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10"/>
    </row>
    <row r="54" spans="1:12" x14ac:dyDescent="0.2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10"/>
    </row>
    <row r="55" spans="1:12" ht="13.5" thickBot="1" x14ac:dyDescent="0.25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10"/>
    </row>
    <row r="56" spans="1:12" ht="15" x14ac:dyDescent="0.2">
      <c r="A56" s="9"/>
      <c r="B56" s="150" t="s">
        <v>95</v>
      </c>
      <c r="C56" s="107"/>
      <c r="D56" s="107"/>
      <c r="E56" s="107"/>
      <c r="F56" s="107"/>
      <c r="G56" s="107"/>
      <c r="H56" s="107"/>
      <c r="I56" s="107"/>
      <c r="J56" s="107"/>
      <c r="K56" s="108"/>
      <c r="L56" s="10"/>
    </row>
    <row r="57" spans="1:12" x14ac:dyDescent="0.2">
      <c r="A57" s="9"/>
      <c r="B57" s="109"/>
      <c r="C57" s="110"/>
      <c r="D57" s="152"/>
      <c r="E57" s="110"/>
      <c r="F57" s="110"/>
      <c r="G57" s="110"/>
      <c r="H57" s="110"/>
      <c r="I57" s="110"/>
      <c r="J57" s="110"/>
      <c r="K57" s="111"/>
      <c r="L57" s="10"/>
    </row>
    <row r="58" spans="1:12" x14ac:dyDescent="0.2">
      <c r="A58" s="9"/>
      <c r="B58" s="109"/>
      <c r="C58" s="110"/>
      <c r="D58" s="152"/>
      <c r="E58" s="110"/>
      <c r="F58" s="110"/>
      <c r="G58" s="110"/>
      <c r="H58" s="110"/>
      <c r="I58" s="110"/>
      <c r="J58" s="110"/>
      <c r="K58" s="111"/>
      <c r="L58" s="10"/>
    </row>
    <row r="59" spans="1:12" x14ac:dyDescent="0.2">
      <c r="A59" s="9"/>
      <c r="B59" s="109"/>
      <c r="C59" s="110"/>
      <c r="D59" s="110"/>
      <c r="E59" s="152"/>
      <c r="F59" s="110"/>
      <c r="G59" s="110"/>
      <c r="H59" s="110"/>
      <c r="I59" s="110"/>
      <c r="J59" s="110"/>
      <c r="K59" s="111"/>
      <c r="L59" s="10"/>
    </row>
    <row r="60" spans="1:12" x14ac:dyDescent="0.2">
      <c r="A60" s="9"/>
      <c r="B60" s="109"/>
      <c r="C60" s="110"/>
      <c r="D60" s="110"/>
      <c r="E60" s="110"/>
      <c r="F60" s="110"/>
      <c r="G60" s="110"/>
      <c r="H60" s="110"/>
      <c r="I60" s="110"/>
      <c r="J60" s="110"/>
      <c r="K60" s="111"/>
      <c r="L60" s="10"/>
    </row>
    <row r="61" spans="1:12" x14ac:dyDescent="0.2">
      <c r="A61" s="9"/>
      <c r="B61" s="109"/>
      <c r="C61" s="110"/>
      <c r="D61" s="110"/>
      <c r="E61" s="110"/>
      <c r="F61" s="110"/>
      <c r="G61" s="110"/>
      <c r="H61" s="110"/>
      <c r="I61" s="110"/>
      <c r="J61" s="110"/>
      <c r="K61" s="111"/>
      <c r="L61" s="10"/>
    </row>
    <row r="62" spans="1:12" x14ac:dyDescent="0.2">
      <c r="A62" s="9"/>
      <c r="B62" s="109"/>
      <c r="C62" s="110"/>
      <c r="D62" s="159"/>
      <c r="E62" s="159"/>
      <c r="F62" s="110"/>
      <c r="G62" s="110"/>
      <c r="H62" s="110"/>
      <c r="I62" s="110"/>
      <c r="J62" s="110"/>
      <c r="K62" s="111"/>
      <c r="L62" s="10"/>
    </row>
    <row r="63" spans="1:12" x14ac:dyDescent="0.2">
      <c r="A63" s="9"/>
      <c r="B63" s="109"/>
      <c r="C63" s="152"/>
      <c r="D63" s="110"/>
      <c r="E63" s="110"/>
      <c r="F63" s="110"/>
      <c r="G63" s="110"/>
      <c r="H63" s="110"/>
      <c r="I63" s="110"/>
      <c r="J63" s="110"/>
      <c r="K63" s="111"/>
      <c r="L63" s="10"/>
    </row>
    <row r="64" spans="1:12" x14ac:dyDescent="0.2">
      <c r="A64" s="9"/>
      <c r="B64" s="109"/>
      <c r="C64" s="110"/>
      <c r="D64" s="110"/>
      <c r="E64" s="110"/>
      <c r="F64" s="110"/>
      <c r="G64" s="110"/>
      <c r="H64" s="110"/>
      <c r="I64" s="110"/>
      <c r="J64" s="110"/>
      <c r="K64" s="111"/>
      <c r="L64" s="10"/>
    </row>
    <row r="65" spans="1:12" x14ac:dyDescent="0.2">
      <c r="A65" s="9"/>
      <c r="B65" s="109"/>
      <c r="C65" s="110"/>
      <c r="D65" s="110"/>
      <c r="E65" s="110"/>
      <c r="F65" s="110"/>
      <c r="G65" s="110"/>
      <c r="H65" s="110"/>
      <c r="I65" s="110"/>
      <c r="J65" s="110"/>
      <c r="K65" s="111"/>
      <c r="L65" s="10"/>
    </row>
    <row r="66" spans="1:12" x14ac:dyDescent="0.2">
      <c r="A66" s="9"/>
      <c r="B66" s="109"/>
      <c r="C66" s="160"/>
      <c r="D66" s="110"/>
      <c r="E66" s="110"/>
      <c r="F66" s="110"/>
      <c r="G66" s="110"/>
      <c r="H66" s="110"/>
      <c r="I66" s="110"/>
      <c r="J66" s="110"/>
      <c r="K66" s="111"/>
      <c r="L66" s="10"/>
    </row>
    <row r="67" spans="1:12" x14ac:dyDescent="0.2">
      <c r="A67" s="9"/>
      <c r="B67" s="109"/>
      <c r="C67" s="160"/>
      <c r="D67" s="110"/>
      <c r="E67" s="110"/>
      <c r="F67" s="110"/>
      <c r="G67" s="110"/>
      <c r="H67" s="110"/>
      <c r="I67" s="110"/>
      <c r="J67" s="110"/>
      <c r="K67" s="111"/>
      <c r="L67" s="10"/>
    </row>
    <row r="68" spans="1:12" x14ac:dyDescent="0.2">
      <c r="A68" s="9"/>
      <c r="B68" s="109"/>
      <c r="C68" s="110"/>
      <c r="D68" s="110"/>
      <c r="E68" s="110"/>
      <c r="F68" s="110"/>
      <c r="G68" s="110"/>
      <c r="H68" s="110"/>
      <c r="I68" s="110"/>
      <c r="J68" s="110"/>
      <c r="K68" s="111"/>
      <c r="L68" s="10"/>
    </row>
    <row r="69" spans="1:12" x14ac:dyDescent="0.2">
      <c r="A69" s="9"/>
      <c r="B69" s="109"/>
      <c r="C69" s="152"/>
      <c r="D69" s="110"/>
      <c r="E69" s="110"/>
      <c r="F69" s="110"/>
      <c r="G69" s="110"/>
      <c r="H69" s="110"/>
      <c r="I69" s="110"/>
      <c r="J69" s="110"/>
      <c r="K69" s="111"/>
      <c r="L69" s="10"/>
    </row>
    <row r="70" spans="1:12" x14ac:dyDescent="0.2">
      <c r="A70" s="9"/>
      <c r="B70" s="109"/>
      <c r="C70" s="134"/>
      <c r="D70" s="110"/>
      <c r="E70" s="110"/>
      <c r="F70" s="110"/>
      <c r="G70" s="110"/>
      <c r="H70" s="110"/>
      <c r="I70" s="110"/>
      <c r="J70" s="110"/>
      <c r="K70" s="111"/>
      <c r="L70" s="10"/>
    </row>
    <row r="71" spans="1:12" x14ac:dyDescent="0.2">
      <c r="A71" s="9"/>
      <c r="B71" s="109"/>
      <c r="C71" s="110"/>
      <c r="D71" s="110"/>
      <c r="E71" s="110"/>
      <c r="F71" s="110"/>
      <c r="G71" s="110"/>
      <c r="H71" s="110"/>
      <c r="I71" s="110"/>
      <c r="J71" s="110"/>
      <c r="K71" s="111"/>
      <c r="L71" s="10"/>
    </row>
    <row r="72" spans="1:12" x14ac:dyDescent="0.2">
      <c r="A72" s="9"/>
      <c r="B72" s="109"/>
      <c r="C72" s="110"/>
      <c r="D72" s="110"/>
      <c r="E72" s="110"/>
      <c r="F72" s="110"/>
      <c r="G72" s="110"/>
      <c r="H72" s="110"/>
      <c r="I72" s="110"/>
      <c r="J72" s="110"/>
      <c r="K72" s="111"/>
      <c r="L72" s="10"/>
    </row>
    <row r="73" spans="1:12" x14ac:dyDescent="0.2">
      <c r="A73" s="9"/>
      <c r="B73" s="109"/>
      <c r="C73" s="110"/>
      <c r="D73" s="110"/>
      <c r="E73" s="110"/>
      <c r="F73" s="110"/>
      <c r="G73" s="110"/>
      <c r="H73" s="110"/>
      <c r="I73" s="110"/>
      <c r="J73" s="110"/>
      <c r="K73" s="111"/>
      <c r="L73" s="10"/>
    </row>
    <row r="74" spans="1:12" x14ac:dyDescent="0.2">
      <c r="A74" s="9"/>
      <c r="B74" s="109"/>
      <c r="C74" s="110"/>
      <c r="D74" s="110"/>
      <c r="E74" s="110"/>
      <c r="F74" s="110"/>
      <c r="G74" s="110"/>
      <c r="H74" s="110"/>
      <c r="I74" s="110"/>
      <c r="J74" s="110"/>
      <c r="K74" s="111"/>
      <c r="L74" s="10"/>
    </row>
    <row r="75" spans="1:12" ht="13.5" thickBot="1" x14ac:dyDescent="0.25">
      <c r="A75" s="9"/>
      <c r="B75" s="112"/>
      <c r="C75" s="113"/>
      <c r="D75" s="113"/>
      <c r="E75" s="113"/>
      <c r="F75" s="113"/>
      <c r="G75" s="113"/>
      <c r="H75" s="113"/>
      <c r="I75" s="113"/>
      <c r="J75" s="113"/>
      <c r="K75" s="114"/>
      <c r="L75" s="10"/>
    </row>
    <row r="76" spans="1:12" x14ac:dyDescent="0.2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10"/>
    </row>
    <row r="77" spans="1:12" x14ac:dyDescent="0.2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10"/>
    </row>
    <row r="78" spans="1:12" ht="13.5" thickBot="1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6"/>
    </row>
  </sheetData>
  <sheetProtection sheet="1"/>
  <protectedRanges>
    <protectedRange sqref="E3:E5" name="Range1"/>
  </protectedRanges>
  <phoneticPr fontId="6" type="noConversion"/>
  <dataValidations count="2">
    <dataValidation type="decimal" errorStyle="warning" operator="lessThanOrEqual" allowBlank="1" errorTitle="Entry Error" prompt="The value for &quot;Level&quot; cannot exceed 50% of theValue entered in &quot;Diameter&quot;." sqref="C33" xr:uid="{00000000-0002-0000-0400-000000000000}">
      <formula1>C31*0.5</formula1>
    </dataValidation>
    <dataValidation allowBlank="1" sqref="D30" xr:uid="{00000000-0002-0000-0400-000001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6"/>
  <sheetViews>
    <sheetView zoomScaleNormal="100" workbookViewId="0">
      <selection activeCell="E19" sqref="E19"/>
    </sheetView>
  </sheetViews>
  <sheetFormatPr defaultColWidth="9.140625" defaultRowHeight="12.75" x14ac:dyDescent="0.2"/>
  <cols>
    <col min="1" max="4" width="9.140625" style="93"/>
    <col min="5" max="5" width="12" style="93" customWidth="1"/>
    <col min="6" max="16384" width="9.140625" style="93"/>
  </cols>
  <sheetData>
    <row r="1" spans="1:20" x14ac:dyDescent="0.2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199" t="s">
        <v>95</v>
      </c>
      <c r="Q1" s="182"/>
      <c r="R1" s="182"/>
      <c r="S1" s="182"/>
      <c r="T1" s="183"/>
    </row>
    <row r="2" spans="1:20" x14ac:dyDescent="0.2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189"/>
      <c r="Q2" s="184"/>
      <c r="R2" s="184"/>
      <c r="S2" s="184"/>
      <c r="T2" s="186"/>
    </row>
    <row r="3" spans="1:20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P3" s="189"/>
      <c r="Q3" s="184"/>
      <c r="R3" s="184"/>
      <c r="S3" s="184"/>
      <c r="T3" s="186"/>
    </row>
    <row r="4" spans="1:20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189"/>
      <c r="Q4" s="184"/>
      <c r="R4" s="184"/>
      <c r="S4" s="184"/>
      <c r="T4" s="186"/>
    </row>
    <row r="5" spans="1:20" ht="13.5" thickBot="1" x14ac:dyDescent="0.2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189"/>
      <c r="Q5" s="184"/>
      <c r="R5" s="184"/>
      <c r="S5" s="184"/>
      <c r="T5" s="186"/>
    </row>
    <row r="6" spans="1:20" x14ac:dyDescent="0.2">
      <c r="A6" s="94"/>
      <c r="B6" s="90"/>
      <c r="C6" s="91"/>
      <c r="D6" s="97" t="s">
        <v>69</v>
      </c>
      <c r="E6" s="87"/>
      <c r="F6" s="95"/>
      <c r="G6" s="95"/>
      <c r="H6" s="95"/>
      <c r="I6" s="95"/>
      <c r="J6" s="95"/>
      <c r="K6" s="95"/>
      <c r="L6" s="95"/>
      <c r="M6" s="95"/>
      <c r="N6" s="95"/>
      <c r="O6" s="96"/>
      <c r="P6" s="189"/>
      <c r="Q6" s="184"/>
      <c r="R6" s="184"/>
      <c r="S6" s="184"/>
      <c r="T6" s="186"/>
    </row>
    <row r="7" spans="1:20" x14ac:dyDescent="0.2">
      <c r="A7" s="94"/>
      <c r="B7" s="94"/>
      <c r="C7" s="95"/>
      <c r="D7" s="98" t="s">
        <v>70</v>
      </c>
      <c r="E7" s="88"/>
      <c r="F7" s="95"/>
      <c r="G7" s="95"/>
      <c r="H7" s="95"/>
      <c r="I7" s="95"/>
      <c r="J7" s="95"/>
      <c r="K7" s="95"/>
      <c r="L7" s="95"/>
      <c r="M7" s="95"/>
      <c r="N7" s="95"/>
      <c r="O7" s="96"/>
      <c r="P7" s="189"/>
      <c r="Q7" s="184"/>
      <c r="R7" s="184"/>
      <c r="S7" s="184"/>
      <c r="T7" s="186"/>
    </row>
    <row r="8" spans="1:20" ht="13.5" thickBot="1" x14ac:dyDescent="0.25">
      <c r="A8" s="94"/>
      <c r="B8" s="99"/>
      <c r="C8" s="100"/>
      <c r="D8" s="101" t="s">
        <v>71</v>
      </c>
      <c r="E8" s="89">
        <v>5.89</v>
      </c>
      <c r="F8" s="95"/>
      <c r="G8" s="95"/>
      <c r="H8" s="95"/>
      <c r="I8" s="95"/>
      <c r="J8" s="95"/>
      <c r="K8" s="95"/>
      <c r="L8" s="95"/>
      <c r="M8" s="95"/>
      <c r="N8" s="95"/>
      <c r="O8" s="96"/>
      <c r="P8" s="189"/>
      <c r="Q8" s="184"/>
      <c r="R8" s="184"/>
      <c r="S8" s="184"/>
      <c r="T8" s="186"/>
    </row>
    <row r="9" spans="1:20" ht="13.5" thickBot="1" x14ac:dyDescent="0.25">
      <c r="A9" s="94"/>
      <c r="B9" s="95"/>
      <c r="C9" s="95"/>
      <c r="D9" s="98"/>
      <c r="E9" s="102"/>
      <c r="F9" s="95"/>
      <c r="G9" s="95"/>
      <c r="H9" s="95"/>
      <c r="I9" s="95"/>
      <c r="J9" s="95"/>
      <c r="K9" s="95"/>
      <c r="L9" s="95"/>
      <c r="M9" s="95"/>
      <c r="N9" s="95"/>
      <c r="O9" s="96"/>
      <c r="P9" s="189"/>
      <c r="Q9" s="184"/>
      <c r="R9" s="184"/>
      <c r="S9" s="184"/>
      <c r="T9" s="186"/>
    </row>
    <row r="10" spans="1:20" x14ac:dyDescent="0.2">
      <c r="A10" s="94"/>
      <c r="B10" s="95"/>
      <c r="C10" s="95"/>
      <c r="D10" s="98" t="s">
        <v>69</v>
      </c>
      <c r="E10" s="120">
        <f>IF(E6&gt;0,E6,E11/ABS(COS(RADIANS(22.5))))</f>
        <v>15.391311726243716</v>
      </c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189"/>
      <c r="Q10" s="184"/>
      <c r="R10" s="184"/>
      <c r="S10" s="184"/>
      <c r="T10" s="186"/>
    </row>
    <row r="11" spans="1:20" x14ac:dyDescent="0.2">
      <c r="A11" s="94"/>
      <c r="B11" s="95"/>
      <c r="C11" s="103"/>
      <c r="D11" s="98" t="s">
        <v>70</v>
      </c>
      <c r="E11" s="121">
        <f>IF(E7&gt;0,E7,IF(E6&gt;0,ABS(COS(RADIANS(22.5))*E6),E8/ABS(TAN(RADIANS(22.5)))))</f>
        <v>14.21971788237753</v>
      </c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189"/>
      <c r="Q11" s="184"/>
      <c r="R11" s="184"/>
      <c r="S11" s="184"/>
      <c r="T11" s="186"/>
    </row>
    <row r="12" spans="1:20" x14ac:dyDescent="0.2">
      <c r="A12" s="94"/>
      <c r="B12" s="95"/>
      <c r="C12" s="95"/>
      <c r="D12" s="98" t="s">
        <v>71</v>
      </c>
      <c r="E12" s="121">
        <f>IF(E8&gt;0,E8,ABS(TAN(RADIANS(22.5)))*E11)</f>
        <v>5.89</v>
      </c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189"/>
      <c r="Q12" s="184"/>
      <c r="R12" s="184"/>
      <c r="S12" s="184"/>
      <c r="T12" s="186"/>
    </row>
    <row r="13" spans="1:20" x14ac:dyDescent="0.2">
      <c r="A13" s="94"/>
      <c r="B13" s="95"/>
      <c r="C13" s="105" t="s">
        <v>20</v>
      </c>
      <c r="E13" s="132">
        <f>(0.5*E12)*(0.5*E11)*8</f>
        <v>167.5082766544073</v>
      </c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189"/>
      <c r="Q13" s="184"/>
      <c r="R13" s="184"/>
      <c r="S13" s="184"/>
      <c r="T13" s="186"/>
    </row>
    <row r="14" spans="1:20" ht="13.5" thickBot="1" x14ac:dyDescent="0.25">
      <c r="A14" s="94"/>
      <c r="B14" s="95"/>
      <c r="C14" s="95"/>
      <c r="D14" s="131" t="s">
        <v>76</v>
      </c>
      <c r="E14" s="122">
        <f>360/16</f>
        <v>22.5</v>
      </c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189"/>
      <c r="Q14" s="184"/>
      <c r="R14" s="184"/>
      <c r="S14" s="184"/>
      <c r="T14" s="186"/>
    </row>
    <row r="15" spans="1:20" ht="13.5" thickBot="1" x14ac:dyDescent="0.2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189"/>
      <c r="Q15" s="184"/>
      <c r="R15" s="184"/>
      <c r="S15" s="184"/>
      <c r="T15" s="186"/>
    </row>
    <row r="16" spans="1:20" x14ac:dyDescent="0.2">
      <c r="A16" s="94"/>
      <c r="B16" s="95"/>
      <c r="C16" s="106"/>
      <c r="D16" s="107"/>
      <c r="E16" s="107"/>
      <c r="F16" s="107"/>
      <c r="G16" s="107"/>
      <c r="H16" s="108"/>
      <c r="I16" s="95"/>
      <c r="J16" s="95"/>
      <c r="K16" s="95"/>
      <c r="L16" s="95"/>
      <c r="M16" s="95"/>
      <c r="N16" s="95"/>
      <c r="O16" s="96"/>
      <c r="P16" s="189"/>
      <c r="Q16" s="184"/>
      <c r="R16" s="184"/>
      <c r="S16" s="184"/>
      <c r="T16" s="186"/>
    </row>
    <row r="17" spans="1:20" x14ac:dyDescent="0.2">
      <c r="A17" s="94"/>
      <c r="B17" s="95"/>
      <c r="C17" s="109"/>
      <c r="D17" s="110"/>
      <c r="E17" s="110"/>
      <c r="F17" s="110"/>
      <c r="G17" s="110"/>
      <c r="H17" s="111"/>
      <c r="I17" s="95"/>
      <c r="J17" s="95"/>
      <c r="K17" s="95"/>
      <c r="L17" s="95"/>
      <c r="M17" s="95"/>
      <c r="N17" s="95"/>
      <c r="O17" s="96"/>
      <c r="P17" s="189"/>
      <c r="Q17" s="184"/>
      <c r="R17" s="184"/>
      <c r="S17" s="184"/>
      <c r="T17" s="186"/>
    </row>
    <row r="18" spans="1:20" x14ac:dyDescent="0.2">
      <c r="A18" s="94"/>
      <c r="B18" s="95"/>
      <c r="C18" s="109"/>
      <c r="D18" s="110"/>
      <c r="E18" s="110"/>
      <c r="F18" s="110"/>
      <c r="G18" s="110"/>
      <c r="H18" s="111"/>
      <c r="I18" s="95"/>
      <c r="J18" s="95"/>
      <c r="K18" s="95"/>
      <c r="L18" s="95"/>
      <c r="M18" s="95"/>
      <c r="N18" s="95"/>
      <c r="O18" s="96"/>
      <c r="P18" s="189"/>
      <c r="Q18" s="184"/>
      <c r="R18" s="184"/>
      <c r="S18" s="184"/>
      <c r="T18" s="186"/>
    </row>
    <row r="19" spans="1:20" x14ac:dyDescent="0.2">
      <c r="A19" s="94"/>
      <c r="B19" s="95"/>
      <c r="C19" s="109"/>
      <c r="D19" s="110"/>
      <c r="E19" s="110"/>
      <c r="F19" s="110"/>
      <c r="G19" s="110"/>
      <c r="H19" s="111"/>
      <c r="I19" s="95"/>
      <c r="J19" s="95"/>
      <c r="K19" s="95"/>
      <c r="L19" s="95"/>
      <c r="M19" s="95"/>
      <c r="N19" s="95"/>
      <c r="O19" s="96"/>
      <c r="P19" s="189"/>
      <c r="Q19" s="184"/>
      <c r="R19" s="184"/>
      <c r="S19" s="184"/>
      <c r="T19" s="186"/>
    </row>
    <row r="20" spans="1:20" x14ac:dyDescent="0.2">
      <c r="A20" s="94"/>
      <c r="B20" s="95"/>
      <c r="C20" s="109"/>
      <c r="D20" s="110"/>
      <c r="E20" s="110"/>
      <c r="F20" s="110"/>
      <c r="G20" s="110"/>
      <c r="H20" s="111"/>
      <c r="I20" s="95"/>
      <c r="J20" s="95"/>
      <c r="K20" s="95"/>
      <c r="L20" s="95"/>
      <c r="M20" s="95"/>
      <c r="N20" s="95"/>
      <c r="O20" s="96"/>
      <c r="P20" s="189"/>
      <c r="Q20" s="184"/>
      <c r="R20" s="184"/>
      <c r="S20" s="184"/>
      <c r="T20" s="186"/>
    </row>
    <row r="21" spans="1:20" ht="13.5" thickBot="1" x14ac:dyDescent="0.25">
      <c r="A21" s="94"/>
      <c r="B21" s="95"/>
      <c r="C21" s="112"/>
      <c r="D21" s="113"/>
      <c r="E21" s="113"/>
      <c r="F21" s="113"/>
      <c r="G21" s="113"/>
      <c r="H21" s="114"/>
      <c r="I21" s="95"/>
      <c r="J21" s="95"/>
      <c r="K21" s="95"/>
      <c r="L21" s="95"/>
      <c r="M21" s="95"/>
      <c r="N21" s="95"/>
      <c r="O21" s="96"/>
      <c r="P21" s="189"/>
      <c r="Q21" s="184"/>
      <c r="R21" s="184"/>
      <c r="S21" s="184"/>
      <c r="T21" s="186"/>
    </row>
    <row r="22" spans="1:20" ht="13.5" thickBot="1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4"/>
      <c r="P22" s="189"/>
      <c r="Q22" s="184"/>
      <c r="R22" s="184"/>
      <c r="S22" s="184"/>
      <c r="T22" s="186"/>
    </row>
    <row r="23" spans="1:20" x14ac:dyDescent="0.2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206" t="s">
        <v>95</v>
      </c>
      <c r="Q23" s="184"/>
      <c r="R23" s="184"/>
      <c r="S23" s="184"/>
      <c r="T23" s="186"/>
    </row>
    <row r="24" spans="1:20" x14ac:dyDescent="0.2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189"/>
      <c r="Q24" s="184"/>
      <c r="R24" s="184"/>
      <c r="S24" s="184"/>
      <c r="T24" s="186"/>
    </row>
    <row r="25" spans="1:20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189"/>
      <c r="Q25" s="184"/>
      <c r="R25" s="184"/>
      <c r="S25" s="184"/>
      <c r="T25" s="186"/>
    </row>
    <row r="26" spans="1:20" x14ac:dyDescent="0.2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189"/>
      <c r="Q26" s="184"/>
      <c r="R26" s="184"/>
      <c r="S26" s="184"/>
      <c r="T26" s="186"/>
    </row>
    <row r="27" spans="1:20" ht="13.5" thickBot="1" x14ac:dyDescent="0.2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189"/>
      <c r="Q27" s="184"/>
      <c r="R27" s="184"/>
      <c r="S27" s="184"/>
      <c r="T27" s="186"/>
    </row>
    <row r="28" spans="1:20" x14ac:dyDescent="0.2">
      <c r="A28" s="94"/>
      <c r="B28" s="90"/>
      <c r="C28" s="91"/>
      <c r="D28" s="97" t="s">
        <v>69</v>
      </c>
      <c r="E28" s="87"/>
      <c r="F28" s="95"/>
      <c r="G28" s="95"/>
      <c r="H28" s="95"/>
      <c r="I28" s="95"/>
      <c r="J28" s="95"/>
      <c r="K28" s="95"/>
      <c r="L28" s="95"/>
      <c r="M28" s="95"/>
      <c r="N28" s="95"/>
      <c r="O28" s="96"/>
      <c r="P28" s="189"/>
      <c r="Q28" s="184"/>
      <c r="R28" s="184"/>
      <c r="S28" s="184"/>
      <c r="T28" s="186"/>
    </row>
    <row r="29" spans="1:20" x14ac:dyDescent="0.2">
      <c r="A29" s="94"/>
      <c r="B29" s="94"/>
      <c r="C29" s="95"/>
      <c r="D29" s="98" t="s">
        <v>70</v>
      </c>
      <c r="E29" s="88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189"/>
      <c r="Q29" s="184"/>
      <c r="R29" s="184"/>
      <c r="S29" s="184"/>
      <c r="T29" s="186"/>
    </row>
    <row r="30" spans="1:20" ht="13.5" thickBot="1" x14ac:dyDescent="0.25">
      <c r="A30" s="94"/>
      <c r="B30" s="99"/>
      <c r="C30" s="100"/>
      <c r="D30" s="101" t="s">
        <v>71</v>
      </c>
      <c r="E30" s="89">
        <v>6.28</v>
      </c>
      <c r="F30" s="95"/>
      <c r="G30" s="95"/>
      <c r="H30" s="95"/>
      <c r="I30" s="95"/>
      <c r="J30" s="95"/>
      <c r="K30" s="95"/>
      <c r="L30" s="95"/>
      <c r="M30" s="95"/>
      <c r="N30" s="95"/>
      <c r="O30" s="96"/>
      <c r="P30" s="189"/>
      <c r="Q30" s="184"/>
      <c r="R30" s="184"/>
      <c r="S30" s="184"/>
      <c r="T30" s="186"/>
    </row>
    <row r="31" spans="1:20" ht="13.5" thickBot="1" x14ac:dyDescent="0.25">
      <c r="A31" s="94"/>
      <c r="B31" s="95"/>
      <c r="C31" s="95"/>
      <c r="D31" s="98"/>
      <c r="E31" s="102"/>
      <c r="F31" s="95"/>
      <c r="G31" s="95"/>
      <c r="H31" s="95"/>
      <c r="I31" s="95"/>
      <c r="J31" s="95"/>
      <c r="K31" s="95"/>
      <c r="L31" s="95"/>
      <c r="M31" s="95"/>
      <c r="N31" s="95"/>
      <c r="O31" s="96"/>
      <c r="P31" s="189"/>
      <c r="Q31" s="184"/>
      <c r="R31" s="184"/>
      <c r="S31" s="184"/>
      <c r="T31" s="186"/>
    </row>
    <row r="32" spans="1:20" x14ac:dyDescent="0.2">
      <c r="A32" s="94"/>
      <c r="B32" s="95"/>
      <c r="C32" s="95"/>
      <c r="D32" s="98" t="s">
        <v>69</v>
      </c>
      <c r="E32" s="120">
        <f>IF(E28&gt;0,E28,E33/ABS(COS(RADIANS(30))))</f>
        <v>12.56</v>
      </c>
      <c r="F32" s="95"/>
      <c r="G32" s="95"/>
      <c r="H32" s="95"/>
      <c r="I32" s="95"/>
      <c r="J32" s="95"/>
      <c r="K32" s="95"/>
      <c r="L32" s="95"/>
      <c r="M32" s="95"/>
      <c r="N32" s="95"/>
      <c r="O32" s="96"/>
      <c r="P32" s="189"/>
      <c r="Q32" s="184"/>
      <c r="R32" s="184"/>
      <c r="S32" s="184"/>
      <c r="T32" s="186"/>
    </row>
    <row r="33" spans="1:20" x14ac:dyDescent="0.2">
      <c r="A33" s="94"/>
      <c r="B33" s="95"/>
      <c r="C33" s="103"/>
      <c r="D33" s="98" t="s">
        <v>70</v>
      </c>
      <c r="E33" s="121">
        <f>IF(E29&gt;0,E29,IF(E28&gt;0,ABS(COS(RADIANS(30))*(0.5*E28)*2),E30/ABS(TAN(RADIANS((30))))))</f>
        <v>10.87727907153255</v>
      </c>
      <c r="F33" s="95"/>
      <c r="G33" s="95"/>
      <c r="H33" s="95"/>
      <c r="I33" s="95"/>
      <c r="J33" s="95"/>
      <c r="K33" s="95"/>
      <c r="L33" s="95"/>
      <c r="M33" s="95"/>
      <c r="N33" s="95"/>
      <c r="O33" s="96"/>
      <c r="P33" s="189"/>
      <c r="Q33" s="184"/>
      <c r="R33" s="184"/>
      <c r="S33" s="184"/>
      <c r="T33" s="186"/>
    </row>
    <row r="34" spans="1:20" x14ac:dyDescent="0.2">
      <c r="A34" s="94"/>
      <c r="B34" s="95"/>
      <c r="C34" s="95"/>
      <c r="D34" s="98" t="s">
        <v>71</v>
      </c>
      <c r="E34" s="121">
        <f>IF(E30&gt;0,E30,ABS(TAN(RADIANS((30)))*E33))</f>
        <v>6.28</v>
      </c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89"/>
      <c r="Q34" s="184"/>
      <c r="R34" s="184"/>
      <c r="S34" s="184"/>
      <c r="T34" s="186"/>
    </row>
    <row r="35" spans="1:20" x14ac:dyDescent="0.2">
      <c r="A35" s="94"/>
      <c r="B35" s="95"/>
      <c r="C35" s="105" t="s">
        <v>20</v>
      </c>
      <c r="E35" s="132">
        <f>(0.5*E34)*(0.5*E33)*6</f>
        <v>102.46396885383663</v>
      </c>
      <c r="F35" s="95"/>
      <c r="G35" s="95"/>
      <c r="H35" s="95"/>
      <c r="I35" s="95"/>
      <c r="J35" s="95"/>
      <c r="K35" s="95"/>
      <c r="L35" s="95"/>
      <c r="M35" s="95"/>
      <c r="N35" s="95"/>
      <c r="O35" s="96"/>
      <c r="P35" s="189"/>
      <c r="Q35" s="184"/>
      <c r="R35" s="184"/>
      <c r="S35" s="184"/>
      <c r="T35" s="186"/>
    </row>
    <row r="36" spans="1:20" ht="13.5" thickBot="1" x14ac:dyDescent="0.25">
      <c r="A36" s="94"/>
      <c r="B36" s="95"/>
      <c r="C36" s="95"/>
      <c r="D36" s="131" t="s">
        <v>76</v>
      </c>
      <c r="E36" s="122">
        <f>360/12</f>
        <v>30</v>
      </c>
      <c r="F36" s="95"/>
      <c r="G36" s="95"/>
      <c r="H36" s="95"/>
      <c r="I36" s="95"/>
      <c r="J36" s="95"/>
      <c r="K36" s="95"/>
      <c r="L36" s="95"/>
      <c r="M36" s="95"/>
      <c r="N36" s="95"/>
      <c r="O36" s="96"/>
      <c r="P36" s="189"/>
      <c r="Q36" s="184"/>
      <c r="R36" s="184"/>
      <c r="S36" s="184"/>
      <c r="T36" s="186"/>
    </row>
    <row r="37" spans="1:20" x14ac:dyDescent="0.2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  <c r="P37" s="189"/>
      <c r="Q37" s="184"/>
      <c r="R37" s="184"/>
      <c r="S37" s="184"/>
      <c r="T37" s="186"/>
    </row>
    <row r="38" spans="1:20" x14ac:dyDescent="0.2">
      <c r="A38" s="94"/>
      <c r="B38" s="95"/>
      <c r="C38" s="110"/>
      <c r="D38" s="110"/>
      <c r="E38" s="110"/>
      <c r="F38" s="110"/>
      <c r="G38" s="110"/>
      <c r="H38" s="110"/>
      <c r="I38" s="95"/>
      <c r="J38" s="95"/>
      <c r="K38" s="95"/>
      <c r="L38" s="95"/>
      <c r="M38" s="95"/>
      <c r="N38" s="95"/>
      <c r="O38" s="96"/>
      <c r="P38" s="189"/>
      <c r="Q38" s="184"/>
      <c r="R38" s="184"/>
      <c r="S38" s="184"/>
      <c r="T38" s="186"/>
    </row>
    <row r="39" spans="1:20" x14ac:dyDescent="0.2">
      <c r="A39" s="94"/>
      <c r="B39" s="95"/>
      <c r="C39" s="110"/>
      <c r="D39" s="110"/>
      <c r="E39" s="110"/>
      <c r="F39" s="110"/>
      <c r="G39" s="110"/>
      <c r="H39" s="110"/>
      <c r="I39" s="95"/>
      <c r="J39" s="95"/>
      <c r="K39" s="95"/>
      <c r="L39" s="95"/>
      <c r="M39" s="95"/>
      <c r="N39" s="95"/>
      <c r="O39" s="96"/>
      <c r="P39" s="189"/>
      <c r="Q39" s="184"/>
      <c r="R39" s="184"/>
      <c r="S39" s="184"/>
      <c r="T39" s="186"/>
    </row>
    <row r="40" spans="1:20" x14ac:dyDescent="0.2">
      <c r="A40" s="94"/>
      <c r="B40" s="95"/>
      <c r="C40" s="110"/>
      <c r="D40" s="110"/>
      <c r="E40" s="110"/>
      <c r="F40" s="110"/>
      <c r="G40" s="110"/>
      <c r="H40" s="110"/>
      <c r="I40" s="95"/>
      <c r="J40" s="95"/>
      <c r="K40" s="95"/>
      <c r="L40" s="95"/>
      <c r="M40" s="95"/>
      <c r="N40" s="95"/>
      <c r="O40" s="96"/>
      <c r="P40" s="189"/>
      <c r="Q40" s="184"/>
      <c r="R40" s="184"/>
      <c r="S40" s="184"/>
      <c r="T40" s="186"/>
    </row>
    <row r="41" spans="1:20" x14ac:dyDescent="0.2">
      <c r="A41" s="94"/>
      <c r="B41" s="95"/>
      <c r="C41" s="110"/>
      <c r="D41" s="110"/>
      <c r="E41" s="110"/>
      <c r="F41" s="110"/>
      <c r="G41" s="110"/>
      <c r="H41" s="110"/>
      <c r="I41" s="95"/>
      <c r="J41" s="95"/>
      <c r="K41" s="95"/>
      <c r="L41" s="95"/>
      <c r="M41" s="95"/>
      <c r="N41" s="95"/>
      <c r="O41" s="96"/>
      <c r="P41" s="189"/>
      <c r="Q41" s="184"/>
      <c r="R41" s="184"/>
      <c r="S41" s="184"/>
      <c r="T41" s="186"/>
    </row>
    <row r="42" spans="1:20" x14ac:dyDescent="0.2">
      <c r="A42" s="94"/>
      <c r="B42" s="95"/>
      <c r="C42" s="110"/>
      <c r="D42" s="110"/>
      <c r="E42" s="110"/>
      <c r="F42" s="110"/>
      <c r="G42" s="110"/>
      <c r="H42" s="110"/>
      <c r="I42" s="95"/>
      <c r="J42" s="95"/>
      <c r="K42" s="95"/>
      <c r="L42" s="95"/>
      <c r="M42" s="95"/>
      <c r="N42" s="95"/>
      <c r="O42" s="96"/>
      <c r="P42" s="189"/>
      <c r="Q42" s="184"/>
      <c r="R42" s="184"/>
      <c r="S42" s="184"/>
      <c r="T42" s="186"/>
    </row>
    <row r="43" spans="1:20" x14ac:dyDescent="0.2">
      <c r="A43" s="94"/>
      <c r="B43" s="95"/>
      <c r="C43" s="110"/>
      <c r="D43" s="110"/>
      <c r="E43" s="110"/>
      <c r="F43" s="110"/>
      <c r="G43" s="110"/>
      <c r="H43" s="110"/>
      <c r="I43" s="95"/>
      <c r="J43" s="95"/>
      <c r="K43" s="95"/>
      <c r="L43" s="95"/>
      <c r="M43" s="95"/>
      <c r="N43" s="95"/>
      <c r="O43" s="96"/>
      <c r="P43" s="189"/>
      <c r="Q43" s="184"/>
      <c r="R43" s="184"/>
      <c r="S43" s="184"/>
      <c r="T43" s="186"/>
    </row>
    <row r="44" spans="1:20" ht="13.5" thickBot="1" x14ac:dyDescent="0.25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4"/>
      <c r="P44" s="189"/>
      <c r="Q44" s="184"/>
      <c r="R44" s="184"/>
      <c r="S44" s="184"/>
      <c r="T44" s="186"/>
    </row>
    <row r="45" spans="1:20" x14ac:dyDescent="0.2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206" t="s">
        <v>95</v>
      </c>
      <c r="Q45" s="184"/>
      <c r="R45" s="184"/>
      <c r="S45" s="184"/>
      <c r="T45" s="186"/>
    </row>
    <row r="46" spans="1:20" x14ac:dyDescent="0.2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189"/>
      <c r="Q46" s="184"/>
      <c r="R46" s="184"/>
      <c r="S46" s="184"/>
      <c r="T46" s="186"/>
    </row>
    <row r="47" spans="1:20" x14ac:dyDescent="0.2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P47" s="189"/>
      <c r="Q47" s="184"/>
      <c r="R47" s="184"/>
      <c r="S47" s="184"/>
      <c r="T47" s="186"/>
    </row>
    <row r="48" spans="1:20" ht="13.5" thickBot="1" x14ac:dyDescent="0.2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  <c r="P48" s="189"/>
      <c r="Q48" s="184"/>
      <c r="R48" s="184"/>
      <c r="S48" s="184"/>
      <c r="T48" s="186"/>
    </row>
    <row r="49" spans="1:20" ht="13.5" thickBot="1" x14ac:dyDescent="0.25">
      <c r="A49" s="94"/>
      <c r="B49" s="115"/>
      <c r="C49" s="116" t="s">
        <v>72</v>
      </c>
      <c r="D49" s="116"/>
      <c r="E49" s="60">
        <v>6</v>
      </c>
      <c r="F49" s="95"/>
      <c r="G49" s="95"/>
      <c r="H49" s="95"/>
      <c r="I49" s="95"/>
      <c r="J49" s="95"/>
      <c r="K49" s="95"/>
      <c r="L49" s="95"/>
      <c r="M49" s="95"/>
      <c r="N49" s="95"/>
      <c r="O49" s="96"/>
      <c r="P49" s="189"/>
      <c r="Q49" s="184"/>
      <c r="R49" s="184"/>
      <c r="S49" s="184"/>
      <c r="T49" s="186"/>
    </row>
    <row r="50" spans="1:20" x14ac:dyDescent="0.2">
      <c r="A50" s="94"/>
      <c r="B50" s="90"/>
      <c r="C50" s="91"/>
      <c r="D50" s="97" t="s">
        <v>69</v>
      </c>
      <c r="E50" s="123"/>
      <c r="F50" s="95"/>
      <c r="G50" s="95"/>
      <c r="H50" s="95"/>
      <c r="I50" s="95"/>
      <c r="J50" s="95"/>
      <c r="K50" s="95"/>
      <c r="L50" s="95"/>
      <c r="M50" s="95"/>
      <c r="N50" s="95"/>
      <c r="O50" s="96"/>
      <c r="P50" s="189"/>
      <c r="Q50" s="184"/>
      <c r="R50" s="184"/>
      <c r="S50" s="184"/>
      <c r="T50" s="186"/>
    </row>
    <row r="51" spans="1:20" x14ac:dyDescent="0.2">
      <c r="A51" s="94"/>
      <c r="B51" s="94"/>
      <c r="C51" s="95"/>
      <c r="D51" s="98" t="s">
        <v>70</v>
      </c>
      <c r="E51" s="124">
        <v>3.5</v>
      </c>
      <c r="F51" s="95"/>
      <c r="G51" s="95"/>
      <c r="H51" s="95"/>
      <c r="I51" s="95"/>
      <c r="J51" s="95"/>
      <c r="K51" s="95"/>
      <c r="L51" s="95"/>
      <c r="M51" s="95"/>
      <c r="N51" s="95"/>
      <c r="O51" s="96"/>
      <c r="P51" s="189"/>
      <c r="Q51" s="184"/>
      <c r="R51" s="184"/>
      <c r="S51" s="184"/>
      <c r="T51" s="186"/>
    </row>
    <row r="52" spans="1:20" ht="13.5" thickBot="1" x14ac:dyDescent="0.25">
      <c r="A52" s="94"/>
      <c r="B52" s="127"/>
      <c r="C52" s="100"/>
      <c r="D52" s="119" t="s">
        <v>71</v>
      </c>
      <c r="E52" s="125"/>
      <c r="F52" s="95"/>
      <c r="G52" s="95"/>
      <c r="H52" s="95"/>
      <c r="I52" s="95"/>
      <c r="J52" s="95"/>
      <c r="K52" s="95"/>
      <c r="L52" s="95"/>
      <c r="M52" s="95"/>
      <c r="N52" s="95"/>
      <c r="O52" s="96"/>
      <c r="P52" s="189"/>
      <c r="Q52" s="184"/>
      <c r="R52" s="184"/>
      <c r="S52" s="184"/>
      <c r="T52" s="186"/>
    </row>
    <row r="53" spans="1:20" ht="13.5" thickBot="1" x14ac:dyDescent="0.25">
      <c r="A53" s="94"/>
      <c r="B53" s="95"/>
      <c r="C53" s="95"/>
      <c r="D53" s="98"/>
      <c r="E53" s="102"/>
      <c r="F53" s="117"/>
      <c r="G53" s="128" t="s">
        <v>11</v>
      </c>
      <c r="H53" s="95"/>
      <c r="I53" s="95"/>
      <c r="J53" s="95"/>
      <c r="K53" s="95"/>
      <c r="L53" s="95"/>
      <c r="M53" s="95"/>
      <c r="N53" s="95"/>
      <c r="O53" s="96"/>
      <c r="P53" s="189"/>
      <c r="Q53" s="184"/>
      <c r="R53" s="184"/>
      <c r="S53" s="184"/>
      <c r="T53" s="186"/>
    </row>
    <row r="54" spans="1:20" ht="13.5" thickBot="1" x14ac:dyDescent="0.25">
      <c r="A54" s="94"/>
      <c r="B54" s="90"/>
      <c r="C54" s="91"/>
      <c r="D54" s="97" t="s">
        <v>69</v>
      </c>
      <c r="E54" s="120">
        <f>IF(E50&gt;0,E50,E55/ABS(COS(RADIANS(K55))))</f>
        <v>4.0414518843273797</v>
      </c>
      <c r="F54" s="130"/>
      <c r="G54" s="120">
        <f>E54*2</f>
        <v>8.0829037686547593</v>
      </c>
      <c r="H54" s="95"/>
      <c r="I54" s="95"/>
      <c r="J54" s="95"/>
      <c r="K54" s="95"/>
      <c r="L54" s="95"/>
      <c r="M54" s="95"/>
      <c r="N54" s="95"/>
      <c r="O54" s="96"/>
      <c r="P54" s="189"/>
      <c r="Q54" s="184"/>
      <c r="R54" s="184"/>
      <c r="S54" s="184"/>
      <c r="T54" s="186"/>
    </row>
    <row r="55" spans="1:20" ht="13.5" thickBot="1" x14ac:dyDescent="0.25">
      <c r="A55" s="94"/>
      <c r="B55" s="99"/>
      <c r="C55" s="118"/>
      <c r="D55" s="101" t="s">
        <v>70</v>
      </c>
      <c r="E55" s="121">
        <f>IF(E51&gt;0,E51,IF(E50&gt;0,ABS(COS(RADIANS(K55))*(0.5*E50)*2),(E52/2)/ABS(TAN(RADIANS((K55))))))</f>
        <v>3.5</v>
      </c>
      <c r="F55" s="130"/>
      <c r="G55" s="129">
        <f>E55*2</f>
        <v>7</v>
      </c>
      <c r="H55" s="95"/>
      <c r="I55" s="95"/>
      <c r="J55" s="95"/>
      <c r="K55" s="95">
        <f>360/(E49*2)</f>
        <v>30</v>
      </c>
      <c r="L55" s="95"/>
      <c r="M55" s="95"/>
      <c r="N55" s="95"/>
      <c r="O55" s="96"/>
      <c r="P55" s="189"/>
      <c r="Q55" s="184"/>
      <c r="R55" s="184"/>
      <c r="S55" s="184"/>
      <c r="T55" s="186"/>
    </row>
    <row r="56" spans="1:20" ht="13.5" thickBot="1" x14ac:dyDescent="0.25">
      <c r="A56" s="95"/>
      <c r="B56" s="126" t="s">
        <v>73</v>
      </c>
      <c r="C56" s="116"/>
      <c r="D56" s="133" t="s">
        <v>71</v>
      </c>
      <c r="E56" s="121">
        <f>IF(E52&gt;0,E52,ABS(TAN(RADIANS((K55)))*E55)*2)</f>
        <v>4.0414518843273797</v>
      </c>
      <c r="F56" s="95"/>
      <c r="G56" s="95"/>
      <c r="H56" s="95"/>
      <c r="I56" s="95"/>
      <c r="J56" s="95"/>
      <c r="K56" s="95"/>
      <c r="L56" s="95"/>
      <c r="M56" s="95"/>
      <c r="N56" s="95"/>
      <c r="O56" s="96"/>
      <c r="P56" s="189"/>
      <c r="Q56" s="184"/>
      <c r="R56" s="184"/>
      <c r="S56" s="184"/>
      <c r="T56" s="186"/>
    </row>
    <row r="57" spans="1:20" x14ac:dyDescent="0.2">
      <c r="A57" s="94"/>
      <c r="B57" s="95"/>
      <c r="C57" s="105" t="s">
        <v>20</v>
      </c>
      <c r="E57" s="132">
        <f>(0.5*E56)*(E55)*E49</f>
        <v>42.43524478543749</v>
      </c>
      <c r="F57" s="95"/>
      <c r="G57" s="95"/>
      <c r="H57" s="95"/>
      <c r="I57" s="95"/>
      <c r="J57" s="95"/>
      <c r="K57" s="95"/>
      <c r="L57" s="95"/>
      <c r="M57" s="95"/>
      <c r="N57" s="95"/>
      <c r="O57" s="96"/>
      <c r="P57" s="189"/>
      <c r="Q57" s="184"/>
      <c r="R57" s="184"/>
      <c r="S57" s="184"/>
      <c r="T57" s="186"/>
    </row>
    <row r="58" spans="1:20" ht="13.5" thickBot="1" x14ac:dyDescent="0.25">
      <c r="A58" s="94"/>
      <c r="B58" s="95"/>
      <c r="C58" s="95"/>
      <c r="D58" s="131" t="s">
        <v>77</v>
      </c>
      <c r="E58" s="122">
        <f>360/(2*E49)</f>
        <v>30</v>
      </c>
      <c r="F58" s="95"/>
      <c r="G58" s="95"/>
      <c r="H58" s="95"/>
      <c r="I58" s="95"/>
      <c r="J58" s="95"/>
      <c r="K58" s="95"/>
      <c r="L58" s="95"/>
      <c r="M58" s="95"/>
      <c r="N58" s="95"/>
      <c r="O58" s="96"/>
      <c r="P58" s="189"/>
      <c r="Q58" s="184"/>
      <c r="R58" s="184"/>
      <c r="S58" s="184"/>
      <c r="T58" s="186"/>
    </row>
    <row r="59" spans="1:20" x14ac:dyDescent="0.2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6"/>
      <c r="P59" s="189"/>
      <c r="Q59" s="184"/>
      <c r="R59" s="184"/>
      <c r="S59" s="184"/>
      <c r="T59" s="186"/>
    </row>
    <row r="60" spans="1:20" x14ac:dyDescent="0.2">
      <c r="A60" s="94"/>
      <c r="B60" s="95"/>
      <c r="C60" s="110"/>
      <c r="D60" s="110"/>
      <c r="E60" s="110"/>
      <c r="F60" s="110"/>
      <c r="G60" s="110"/>
      <c r="H60" s="110"/>
      <c r="I60" s="95"/>
      <c r="J60" s="95"/>
      <c r="K60" s="95"/>
      <c r="L60" s="95"/>
      <c r="M60" s="95"/>
      <c r="N60" s="95"/>
      <c r="O60" s="96"/>
      <c r="P60" s="189"/>
      <c r="Q60" s="184"/>
      <c r="R60" s="184"/>
      <c r="S60" s="184"/>
      <c r="T60" s="186"/>
    </row>
    <row r="61" spans="1:20" x14ac:dyDescent="0.2">
      <c r="A61" s="94"/>
      <c r="B61" s="95"/>
      <c r="C61" s="110"/>
      <c r="D61" s="110"/>
      <c r="E61" s="110"/>
      <c r="F61" s="110"/>
      <c r="G61" s="110"/>
      <c r="H61" s="110"/>
      <c r="I61" s="95"/>
      <c r="J61" s="95"/>
      <c r="K61" s="95"/>
      <c r="L61" s="95"/>
      <c r="M61" s="95"/>
      <c r="N61" s="95"/>
      <c r="O61" s="96"/>
      <c r="P61" s="189"/>
      <c r="Q61" s="184"/>
      <c r="R61" s="184"/>
      <c r="S61" s="184"/>
      <c r="T61" s="186"/>
    </row>
    <row r="62" spans="1:20" x14ac:dyDescent="0.2">
      <c r="A62" s="94"/>
      <c r="B62" s="95"/>
      <c r="C62" s="110"/>
      <c r="D62" s="110"/>
      <c r="E62" s="110"/>
      <c r="F62" s="110"/>
      <c r="G62" s="110"/>
      <c r="H62" s="110"/>
      <c r="I62" s="95"/>
      <c r="J62" s="95"/>
      <c r="K62" s="95"/>
      <c r="L62" s="95"/>
      <c r="M62" s="95"/>
      <c r="N62" s="95"/>
      <c r="O62" s="96"/>
      <c r="P62" s="189"/>
      <c r="Q62" s="184"/>
      <c r="R62" s="184"/>
      <c r="S62" s="184"/>
      <c r="T62" s="186"/>
    </row>
    <row r="63" spans="1:20" x14ac:dyDescent="0.2">
      <c r="A63" s="94"/>
      <c r="B63" s="95"/>
      <c r="C63" s="110"/>
      <c r="D63" s="110"/>
      <c r="E63" s="110"/>
      <c r="F63" s="110"/>
      <c r="G63" s="110"/>
      <c r="H63" s="110"/>
      <c r="I63" s="95"/>
      <c r="J63" s="95"/>
      <c r="K63" s="95"/>
      <c r="L63" s="95"/>
      <c r="M63" s="95"/>
      <c r="N63" s="95"/>
      <c r="O63" s="96"/>
      <c r="P63" s="189"/>
      <c r="Q63" s="184"/>
      <c r="R63" s="184"/>
      <c r="S63" s="184"/>
      <c r="T63" s="186"/>
    </row>
    <row r="64" spans="1:20" x14ac:dyDescent="0.2">
      <c r="A64" s="94"/>
      <c r="B64" s="95"/>
      <c r="C64" s="110"/>
      <c r="D64" s="110"/>
      <c r="E64" s="110"/>
      <c r="F64" s="110"/>
      <c r="G64" s="110"/>
      <c r="H64" s="110"/>
      <c r="I64" s="95"/>
      <c r="J64" s="95"/>
      <c r="K64" s="95"/>
      <c r="L64" s="95"/>
      <c r="M64" s="95"/>
      <c r="N64" s="95"/>
      <c r="O64" s="96"/>
      <c r="P64" s="189"/>
      <c r="Q64" s="184"/>
      <c r="R64" s="184"/>
      <c r="S64" s="184"/>
      <c r="T64" s="186"/>
    </row>
    <row r="65" spans="1:20" x14ac:dyDescent="0.2">
      <c r="A65" s="94"/>
      <c r="B65" s="95"/>
      <c r="C65" s="110"/>
      <c r="D65" s="110"/>
      <c r="E65" s="110"/>
      <c r="F65" s="110"/>
      <c r="G65" s="110"/>
      <c r="H65" s="110"/>
      <c r="I65" s="95"/>
      <c r="J65" s="95"/>
      <c r="K65" s="95"/>
      <c r="L65" s="95"/>
      <c r="M65" s="95"/>
      <c r="N65" s="95"/>
      <c r="O65" s="96"/>
      <c r="P65" s="189"/>
      <c r="Q65" s="184"/>
      <c r="R65" s="184"/>
      <c r="S65" s="184"/>
      <c r="T65" s="186"/>
    </row>
    <row r="66" spans="1:20" ht="13.5" thickBot="1" x14ac:dyDescent="0.25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4"/>
      <c r="P66" s="190"/>
      <c r="Q66" s="191"/>
      <c r="R66" s="191"/>
      <c r="S66" s="191"/>
      <c r="T66" s="192"/>
    </row>
  </sheetData>
  <sheetProtection sheet="1"/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1"/>
  <sheetViews>
    <sheetView tabSelected="1" workbookViewId="0">
      <selection activeCell="E3" sqref="E3"/>
    </sheetView>
  </sheetViews>
  <sheetFormatPr defaultRowHeight="12.75" x14ac:dyDescent="0.2"/>
  <cols>
    <col min="1" max="1" width="38.42578125" customWidth="1"/>
    <col min="2" max="2" width="18.140625" customWidth="1"/>
    <col min="3" max="3" width="9.28515625" customWidth="1"/>
    <col min="4" max="4" width="9.140625" customWidth="1"/>
  </cols>
  <sheetData>
    <row r="1" spans="1:12" ht="13.5" thickBot="1" x14ac:dyDescent="0.25"/>
    <row r="2" spans="1:12" s="161" customFormat="1" ht="21" customHeight="1" x14ac:dyDescent="0.2">
      <c r="A2" s="162" t="s">
        <v>97</v>
      </c>
      <c r="B2" s="168">
        <v>3460</v>
      </c>
    </row>
    <row r="3" spans="1:12" s="161" customFormat="1" ht="21" customHeight="1" x14ac:dyDescent="0.2">
      <c r="A3" s="162" t="s">
        <v>98</v>
      </c>
      <c r="B3" s="169">
        <v>12</v>
      </c>
    </row>
    <row r="4" spans="1:12" s="161" customFormat="1" ht="21" customHeight="1" x14ac:dyDescent="0.2">
      <c r="A4" s="162" t="s">
        <v>99</v>
      </c>
      <c r="B4" s="246">
        <v>2</v>
      </c>
    </row>
    <row r="5" spans="1:12" s="161" customFormat="1" ht="21" customHeight="1" thickBot="1" x14ac:dyDescent="0.25">
      <c r="A5" s="162" t="s">
        <v>100</v>
      </c>
      <c r="B5" s="170">
        <v>10</v>
      </c>
      <c r="G5" s="165" t="s">
        <v>102</v>
      </c>
    </row>
    <row r="6" spans="1:12" ht="13.5" thickBot="1" x14ac:dyDescent="0.25">
      <c r="B6" t="s">
        <v>107</v>
      </c>
    </row>
    <row r="7" spans="1:12" ht="13.5" thickBot="1" x14ac:dyDescent="0.25">
      <c r="A7" s="166" t="s">
        <v>114</v>
      </c>
      <c r="B7" s="167">
        <f>IF($B$3&gt;$B$4,((SQRT(($B$5^2)-(($B$3-$B$4)/2)^2))*2)+(((ACOS(((($B$3/2)-(($B$4)/2))/$B$5)))*2)*(($B$4/2))+(2*PI()-((ACOS(((($B$3/2)-(($B$4)/2))/$B$5)))*2))*($B$3/2)),((SQRT(($B$5^2)-(ABS($B$3-$B$4)/2)^2))*2)+(2*PI()-((ACOS(((($B$4/2)-(($B$3)/2))/$B$5)))*2))*($B$4/2)+((ACOS(((($B$4/2)-(($B$3)/2))/$B$5)))*2)*($B$3/2))</f>
        <v>44.547644406800316</v>
      </c>
    </row>
    <row r="8" spans="1:12" ht="13.5" thickBot="1" x14ac:dyDescent="0.25">
      <c r="A8" s="166" t="s">
        <v>103</v>
      </c>
      <c r="B8" s="167">
        <f>B2/(B3/B4)</f>
        <v>576.66666666666663</v>
      </c>
    </row>
    <row r="9" spans="1:12" ht="13.5" thickBot="1" x14ac:dyDescent="0.25"/>
    <row r="10" spans="1:12" ht="13.5" thickBot="1" x14ac:dyDescent="0.25">
      <c r="A10" s="166" t="s">
        <v>104</v>
      </c>
      <c r="B10" s="171">
        <v>24</v>
      </c>
    </row>
    <row r="11" spans="1:12" ht="13.5" thickBot="1" x14ac:dyDescent="0.25">
      <c r="A11" s="166" t="s">
        <v>105</v>
      </c>
      <c r="B11" s="167">
        <f>B10*PI()*B8/12</f>
        <v>3623.3035271402277</v>
      </c>
      <c r="L11" s="163" t="s">
        <v>7</v>
      </c>
    </row>
    <row r="12" spans="1:12" ht="13.5" thickBot="1" x14ac:dyDescent="0.25">
      <c r="A12" s="166" t="s">
        <v>106</v>
      </c>
      <c r="B12" s="167">
        <f>B11/60</f>
        <v>60.388392119003797</v>
      </c>
      <c r="C12" s="164" t="s">
        <v>101</v>
      </c>
    </row>
    <row r="16" spans="1:12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2" ht="13.5" thickBot="1" x14ac:dyDescent="0.25">
      <c r="A17" s="177"/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2" x14ac:dyDescent="0.2">
      <c r="A18" s="219" t="s">
        <v>95</v>
      </c>
      <c r="B18" s="207"/>
      <c r="C18" s="207"/>
      <c r="D18" s="207"/>
      <c r="E18" s="208"/>
      <c r="F18" s="207"/>
      <c r="G18" s="207"/>
      <c r="H18" s="207"/>
      <c r="I18" s="207"/>
      <c r="J18" s="207"/>
      <c r="K18" s="207"/>
      <c r="L18" s="183"/>
    </row>
    <row r="19" spans="1:12" x14ac:dyDescent="0.2">
      <c r="A19" s="209"/>
      <c r="B19" s="210"/>
      <c r="C19" s="210"/>
      <c r="D19" s="210"/>
      <c r="E19" s="211"/>
      <c r="F19" s="210"/>
      <c r="G19" s="210"/>
      <c r="H19" s="210"/>
      <c r="I19" s="210"/>
      <c r="J19" s="210"/>
      <c r="K19" s="210"/>
      <c r="L19" s="186"/>
    </row>
    <row r="20" spans="1:12" x14ac:dyDescent="0.2">
      <c r="A20" s="244"/>
      <c r="B20" s="210"/>
      <c r="C20" s="211"/>
      <c r="D20" s="211"/>
      <c r="E20" s="211"/>
      <c r="F20" s="211"/>
      <c r="G20" s="211"/>
      <c r="H20" s="211"/>
      <c r="I20" s="210"/>
      <c r="J20" s="210"/>
      <c r="K20" s="210"/>
      <c r="L20" s="186"/>
    </row>
    <row r="21" spans="1:12" x14ac:dyDescent="0.2">
      <c r="A21" s="209"/>
      <c r="B21" s="210"/>
      <c r="C21" s="245"/>
      <c r="D21" s="210"/>
      <c r="E21" s="211"/>
      <c r="F21" s="211"/>
      <c r="G21" s="212"/>
      <c r="H21" s="210"/>
      <c r="I21" s="210"/>
      <c r="J21" s="210"/>
      <c r="K21" s="210"/>
      <c r="L21" s="186"/>
    </row>
    <row r="22" spans="1:12" x14ac:dyDescent="0.2">
      <c r="A22" s="209"/>
      <c r="B22" s="210"/>
      <c r="C22" s="210"/>
      <c r="D22" s="210"/>
      <c r="E22" s="211"/>
      <c r="F22" s="210"/>
      <c r="G22" s="210"/>
      <c r="H22" s="210"/>
      <c r="I22" s="210"/>
      <c r="J22" s="210"/>
      <c r="K22" s="210"/>
      <c r="L22" s="186"/>
    </row>
    <row r="23" spans="1:12" x14ac:dyDescent="0.2">
      <c r="A23" s="209"/>
      <c r="B23" s="210"/>
      <c r="C23" s="210"/>
      <c r="D23" s="210"/>
      <c r="E23" s="211"/>
      <c r="F23" s="210"/>
      <c r="G23" s="210"/>
      <c r="H23" s="210"/>
      <c r="I23" s="210"/>
      <c r="J23" s="210"/>
      <c r="K23" s="210"/>
      <c r="L23" s="186"/>
    </row>
    <row r="24" spans="1:12" x14ac:dyDescent="0.2">
      <c r="A24" s="209"/>
      <c r="B24" s="210"/>
      <c r="C24" s="210"/>
      <c r="D24" s="210"/>
      <c r="E24" s="211"/>
      <c r="F24" s="210"/>
      <c r="G24" s="210"/>
      <c r="H24" s="210"/>
      <c r="I24" s="210"/>
      <c r="J24" s="210"/>
      <c r="K24" s="210"/>
      <c r="L24" s="186"/>
    </row>
    <row r="25" spans="1:12" x14ac:dyDescent="0.2">
      <c r="A25" s="20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186"/>
    </row>
    <row r="26" spans="1:12" x14ac:dyDescent="0.2">
      <c r="A26" s="209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186"/>
    </row>
    <row r="27" spans="1:12" x14ac:dyDescent="0.2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186"/>
    </row>
    <row r="28" spans="1:12" x14ac:dyDescent="0.2">
      <c r="A28" s="209"/>
      <c r="B28" s="212"/>
      <c r="C28" s="210"/>
      <c r="D28" s="210"/>
      <c r="E28" s="210"/>
      <c r="F28" s="210"/>
      <c r="G28" s="210"/>
      <c r="H28" s="210"/>
      <c r="I28" s="210"/>
      <c r="J28" s="210"/>
      <c r="K28" s="210"/>
      <c r="L28" s="186"/>
    </row>
    <row r="29" spans="1:12" x14ac:dyDescent="0.2">
      <c r="A29" s="213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186"/>
    </row>
    <row r="30" spans="1:12" x14ac:dyDescent="0.2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186"/>
    </row>
    <row r="31" spans="1:12" x14ac:dyDescent="0.2">
      <c r="A31" s="214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186"/>
    </row>
    <row r="32" spans="1:12" x14ac:dyDescent="0.2">
      <c r="A32" s="214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186"/>
    </row>
    <row r="33" spans="1:12" x14ac:dyDescent="0.2">
      <c r="A33" s="214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186"/>
    </row>
    <row r="34" spans="1:12" x14ac:dyDescent="0.2">
      <c r="A34" s="213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186"/>
    </row>
    <row r="35" spans="1:12" x14ac:dyDescent="0.2">
      <c r="A35" s="214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186"/>
    </row>
    <row r="36" spans="1:12" x14ac:dyDescent="0.2">
      <c r="A36" s="214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186"/>
    </row>
    <row r="37" spans="1:12" x14ac:dyDescent="0.2">
      <c r="A37" s="214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186"/>
    </row>
    <row r="38" spans="1:12" x14ac:dyDescent="0.2">
      <c r="A38" s="213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186"/>
    </row>
    <row r="39" spans="1:12" x14ac:dyDescent="0.2">
      <c r="A39" s="214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186"/>
    </row>
    <row r="40" spans="1:12" x14ac:dyDescent="0.2">
      <c r="A40" s="214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186"/>
    </row>
    <row r="41" spans="1:12" x14ac:dyDescent="0.2">
      <c r="A41" s="214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186"/>
    </row>
    <row r="42" spans="1:12" x14ac:dyDescent="0.2">
      <c r="A42" s="214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186"/>
    </row>
    <row r="43" spans="1:12" x14ac:dyDescent="0.2">
      <c r="A43" s="215"/>
      <c r="B43" s="216"/>
      <c r="C43" s="216"/>
      <c r="D43" s="216"/>
      <c r="E43" s="216"/>
      <c r="F43" s="216"/>
      <c r="G43" s="216"/>
      <c r="H43" s="216"/>
      <c r="I43" s="184"/>
      <c r="J43" s="184"/>
      <c r="K43" s="184"/>
      <c r="L43" s="186"/>
    </row>
    <row r="44" spans="1:12" x14ac:dyDescent="0.2">
      <c r="A44" s="215"/>
      <c r="B44" s="216"/>
      <c r="C44" s="216"/>
      <c r="D44" s="216"/>
      <c r="E44" s="216"/>
      <c r="F44" s="216"/>
      <c r="G44" s="216"/>
      <c r="H44" s="216"/>
      <c r="I44" s="184"/>
      <c r="J44" s="184"/>
      <c r="K44" s="184"/>
      <c r="L44" s="186"/>
    </row>
    <row r="45" spans="1:12" x14ac:dyDescent="0.2">
      <c r="A45" s="215"/>
      <c r="B45" s="216"/>
      <c r="C45" s="216"/>
      <c r="D45" s="216"/>
      <c r="E45" s="216"/>
      <c r="F45" s="216"/>
      <c r="G45" s="216"/>
      <c r="H45" s="216"/>
      <c r="I45" s="184"/>
      <c r="J45" s="184"/>
      <c r="K45" s="184"/>
      <c r="L45" s="186"/>
    </row>
    <row r="46" spans="1:12" x14ac:dyDescent="0.2">
      <c r="A46" s="215"/>
      <c r="B46" s="216"/>
      <c r="C46" s="216"/>
      <c r="D46" s="216"/>
      <c r="E46" s="216"/>
      <c r="F46" s="216"/>
      <c r="G46" s="216"/>
      <c r="H46" s="216"/>
      <c r="I46" s="184"/>
      <c r="J46" s="184"/>
      <c r="K46" s="184"/>
      <c r="L46" s="186"/>
    </row>
    <row r="47" spans="1:12" x14ac:dyDescent="0.2">
      <c r="A47" s="215"/>
      <c r="B47" s="216"/>
      <c r="C47" s="216"/>
      <c r="D47" s="216"/>
      <c r="E47" s="216"/>
      <c r="F47" s="216"/>
      <c r="G47" s="216"/>
      <c r="H47" s="216"/>
      <c r="I47" s="184"/>
      <c r="J47" s="184"/>
      <c r="K47" s="184"/>
      <c r="L47" s="186"/>
    </row>
    <row r="48" spans="1:12" x14ac:dyDescent="0.2">
      <c r="A48" s="215"/>
      <c r="B48" s="216"/>
      <c r="C48" s="216"/>
      <c r="D48" s="216"/>
      <c r="E48" s="216"/>
      <c r="F48" s="216"/>
      <c r="G48" s="216"/>
      <c r="H48" s="216"/>
      <c r="I48" s="184"/>
      <c r="J48" s="184"/>
      <c r="K48" s="184"/>
      <c r="L48" s="186"/>
    </row>
    <row r="49" spans="1:12" x14ac:dyDescent="0.2">
      <c r="A49" s="215"/>
      <c r="B49" s="216"/>
      <c r="C49" s="216"/>
      <c r="D49" s="216"/>
      <c r="E49" s="216"/>
      <c r="F49" s="216"/>
      <c r="G49" s="216"/>
      <c r="H49" s="216"/>
      <c r="I49" s="184"/>
      <c r="J49" s="184"/>
      <c r="K49" s="184"/>
      <c r="L49" s="186"/>
    </row>
    <row r="50" spans="1:12" x14ac:dyDescent="0.2">
      <c r="A50" s="215"/>
      <c r="B50" s="216"/>
      <c r="C50" s="216"/>
      <c r="D50" s="216"/>
      <c r="E50" s="216"/>
      <c r="F50" s="216"/>
      <c r="G50" s="216"/>
      <c r="H50" s="216"/>
      <c r="I50" s="184"/>
      <c r="J50" s="184"/>
      <c r="K50" s="184"/>
      <c r="L50" s="186"/>
    </row>
    <row r="51" spans="1:12" x14ac:dyDescent="0.2">
      <c r="A51" s="215"/>
      <c r="B51" s="216"/>
      <c r="C51" s="216"/>
      <c r="D51" s="216"/>
      <c r="E51" s="216"/>
      <c r="F51" s="216"/>
      <c r="G51" s="216"/>
      <c r="H51" s="216"/>
      <c r="I51" s="184"/>
      <c r="J51" s="184"/>
      <c r="K51" s="184"/>
      <c r="L51" s="186"/>
    </row>
    <row r="52" spans="1:12" x14ac:dyDescent="0.2">
      <c r="A52" s="215"/>
      <c r="B52" s="216"/>
      <c r="C52" s="216"/>
      <c r="D52" s="216"/>
      <c r="E52" s="216"/>
      <c r="F52" s="216"/>
      <c r="G52" s="216"/>
      <c r="H52" s="216"/>
      <c r="I52" s="184"/>
      <c r="J52" s="184"/>
      <c r="K52" s="184"/>
      <c r="L52" s="186"/>
    </row>
    <row r="53" spans="1:12" x14ac:dyDescent="0.2">
      <c r="A53" s="215"/>
      <c r="B53" s="216"/>
      <c r="C53" s="216"/>
      <c r="D53" s="216"/>
      <c r="E53" s="216"/>
      <c r="F53" s="216"/>
      <c r="G53" s="216"/>
      <c r="H53" s="216"/>
      <c r="I53" s="184"/>
      <c r="J53" s="184"/>
      <c r="K53" s="184"/>
      <c r="L53" s="186"/>
    </row>
    <row r="54" spans="1:12" x14ac:dyDescent="0.2">
      <c r="A54" s="215"/>
      <c r="B54" s="216"/>
      <c r="C54" s="216"/>
      <c r="D54" s="216"/>
      <c r="E54" s="216"/>
      <c r="F54" s="216"/>
      <c r="G54" s="216"/>
      <c r="H54" s="216"/>
      <c r="I54" s="184"/>
      <c r="J54" s="184"/>
      <c r="K54" s="184"/>
      <c r="L54" s="186"/>
    </row>
    <row r="55" spans="1:12" x14ac:dyDescent="0.2">
      <c r="A55" s="215"/>
      <c r="B55" s="216"/>
      <c r="C55" s="216"/>
      <c r="D55" s="216"/>
      <c r="E55" s="216"/>
      <c r="F55" s="216"/>
      <c r="G55" s="216"/>
      <c r="H55" s="216"/>
      <c r="I55" s="184"/>
      <c r="J55" s="184"/>
      <c r="K55" s="184"/>
      <c r="L55" s="186"/>
    </row>
    <row r="56" spans="1:12" x14ac:dyDescent="0.2">
      <c r="A56" s="215"/>
      <c r="B56" s="216"/>
      <c r="C56" s="216"/>
      <c r="D56" s="216"/>
      <c r="E56" s="216"/>
      <c r="F56" s="216"/>
      <c r="G56" s="216"/>
      <c r="H56" s="216"/>
      <c r="I56" s="184"/>
      <c r="J56" s="184"/>
      <c r="K56" s="184"/>
      <c r="L56" s="186"/>
    </row>
    <row r="57" spans="1:12" x14ac:dyDescent="0.2">
      <c r="A57" s="215"/>
      <c r="B57" s="216"/>
      <c r="C57" s="216"/>
      <c r="D57" s="216"/>
      <c r="E57" s="216"/>
      <c r="F57" s="216"/>
      <c r="G57" s="216"/>
      <c r="H57" s="216"/>
      <c r="I57" s="184"/>
      <c r="J57" s="184"/>
      <c r="K57" s="184"/>
      <c r="L57" s="186"/>
    </row>
    <row r="58" spans="1:12" x14ac:dyDescent="0.2">
      <c r="A58" s="215"/>
      <c r="B58" s="216"/>
      <c r="C58" s="216"/>
      <c r="D58" s="216"/>
      <c r="E58" s="216"/>
      <c r="F58" s="216"/>
      <c r="G58" s="216"/>
      <c r="H58" s="216"/>
      <c r="I58" s="184"/>
      <c r="J58" s="184"/>
      <c r="K58" s="184"/>
      <c r="L58" s="186"/>
    </row>
    <row r="59" spans="1:12" x14ac:dyDescent="0.2">
      <c r="A59" s="215"/>
      <c r="B59" s="216"/>
      <c r="C59" s="216"/>
      <c r="D59" s="216"/>
      <c r="E59" s="216"/>
      <c r="F59" s="216"/>
      <c r="G59" s="216"/>
      <c r="H59" s="216"/>
      <c r="I59" s="184"/>
      <c r="J59" s="184"/>
      <c r="K59" s="184"/>
      <c r="L59" s="186"/>
    </row>
    <row r="60" spans="1:12" x14ac:dyDescent="0.2">
      <c r="A60" s="215"/>
      <c r="B60" s="216"/>
      <c r="C60" s="216"/>
      <c r="D60" s="216"/>
      <c r="E60" s="216"/>
      <c r="F60" s="216"/>
      <c r="G60" s="216"/>
      <c r="H60" s="216"/>
      <c r="I60" s="184"/>
      <c r="J60" s="184"/>
      <c r="K60" s="184"/>
      <c r="L60" s="186"/>
    </row>
    <row r="61" spans="1:12" ht="13.5" thickBot="1" x14ac:dyDescent="0.25">
      <c r="A61" s="217"/>
      <c r="B61" s="218"/>
      <c r="C61" s="218"/>
      <c r="D61" s="218"/>
      <c r="E61" s="218"/>
      <c r="F61" s="218"/>
      <c r="G61" s="218"/>
      <c r="H61" s="218"/>
      <c r="I61" s="191"/>
      <c r="J61" s="191"/>
      <c r="K61" s="191"/>
      <c r="L61" s="192"/>
    </row>
    <row r="62" spans="1:12" x14ac:dyDescent="0.2">
      <c r="A62" s="175"/>
      <c r="B62" s="175"/>
      <c r="C62" s="175"/>
      <c r="D62" s="175"/>
      <c r="E62" s="175"/>
      <c r="F62" s="175"/>
      <c r="G62" s="175"/>
      <c r="H62" s="175"/>
    </row>
    <row r="63" spans="1:12" x14ac:dyDescent="0.2">
      <c r="A63" s="175"/>
      <c r="B63" s="175"/>
      <c r="C63" s="175"/>
      <c r="D63" s="175"/>
      <c r="E63" s="175"/>
      <c r="F63" s="175"/>
      <c r="G63" s="175"/>
      <c r="H63" s="175"/>
    </row>
    <row r="64" spans="1:12" x14ac:dyDescent="0.2">
      <c r="A64" s="175"/>
      <c r="B64" s="175"/>
      <c r="C64" s="175"/>
      <c r="D64" s="175"/>
      <c r="E64" s="175"/>
      <c r="F64" s="175"/>
      <c r="G64" s="175"/>
      <c r="H64" s="175"/>
    </row>
    <row r="65" spans="1:8" x14ac:dyDescent="0.2">
      <c r="A65" s="175"/>
      <c r="B65" s="175"/>
      <c r="C65" s="175"/>
      <c r="D65" s="175"/>
      <c r="E65" s="175"/>
      <c r="F65" s="175"/>
      <c r="G65" s="175"/>
      <c r="H65" s="175"/>
    </row>
    <row r="66" spans="1:8" x14ac:dyDescent="0.2">
      <c r="A66" s="175"/>
      <c r="B66" s="175"/>
      <c r="C66" s="175"/>
      <c r="D66" s="175"/>
      <c r="E66" s="175"/>
      <c r="F66" s="175"/>
      <c r="G66" s="175"/>
      <c r="H66" s="175"/>
    </row>
    <row r="67" spans="1:8" x14ac:dyDescent="0.2">
      <c r="A67" s="175"/>
      <c r="B67" s="175"/>
      <c r="C67" s="175"/>
      <c r="D67" s="175"/>
      <c r="E67" s="175"/>
      <c r="F67" s="175"/>
      <c r="G67" s="175"/>
      <c r="H67" s="175"/>
    </row>
    <row r="68" spans="1:8" x14ac:dyDescent="0.2">
      <c r="A68" s="175"/>
      <c r="B68" s="175"/>
      <c r="C68" s="175"/>
      <c r="D68" s="175"/>
      <c r="E68" s="175"/>
      <c r="F68" s="175"/>
      <c r="G68" s="175"/>
      <c r="H68" s="175"/>
    </row>
    <row r="69" spans="1:8" x14ac:dyDescent="0.2">
      <c r="A69" s="175"/>
      <c r="B69" s="175"/>
      <c r="C69" s="175"/>
      <c r="D69" s="175"/>
      <c r="E69" s="175"/>
      <c r="F69" s="175"/>
      <c r="G69" s="175"/>
      <c r="H69" s="175"/>
    </row>
    <row r="70" spans="1:8" x14ac:dyDescent="0.2">
      <c r="A70" s="175"/>
      <c r="B70" s="175"/>
      <c r="C70" s="175"/>
      <c r="D70" s="175"/>
      <c r="E70" s="175"/>
      <c r="F70" s="175"/>
      <c r="G70" s="175"/>
      <c r="H70" s="175"/>
    </row>
    <row r="71" spans="1:8" x14ac:dyDescent="0.2">
      <c r="A71" s="175"/>
      <c r="B71" s="175"/>
      <c r="C71" s="175"/>
      <c r="D71" s="175"/>
      <c r="E71" s="175"/>
      <c r="F71" s="175"/>
      <c r="G71" s="175"/>
      <c r="H71" s="175"/>
    </row>
    <row r="72" spans="1:8" x14ac:dyDescent="0.2">
      <c r="A72" s="175"/>
      <c r="B72" s="175"/>
      <c r="C72" s="175"/>
      <c r="D72" s="175"/>
      <c r="E72" s="175"/>
      <c r="F72" s="175"/>
      <c r="G72" s="175"/>
      <c r="H72" s="175"/>
    </row>
    <row r="73" spans="1:8" x14ac:dyDescent="0.2">
      <c r="A73" s="175"/>
      <c r="B73" s="175"/>
      <c r="C73" s="175"/>
      <c r="D73" s="175"/>
      <c r="E73" s="175"/>
      <c r="F73" s="175"/>
      <c r="G73" s="175"/>
      <c r="H73" s="175"/>
    </row>
    <row r="74" spans="1:8" x14ac:dyDescent="0.2">
      <c r="A74" s="175"/>
      <c r="B74" s="175"/>
      <c r="C74" s="175"/>
      <c r="D74" s="175"/>
      <c r="E74" s="175"/>
      <c r="F74" s="175"/>
      <c r="G74" s="175"/>
      <c r="H74" s="175"/>
    </row>
    <row r="75" spans="1:8" x14ac:dyDescent="0.2">
      <c r="A75" s="175"/>
      <c r="B75" s="175"/>
      <c r="C75" s="175"/>
      <c r="D75" s="175"/>
      <c r="E75" s="175"/>
      <c r="F75" s="175"/>
      <c r="G75" s="175"/>
      <c r="H75" s="175"/>
    </row>
    <row r="76" spans="1:8" x14ac:dyDescent="0.2">
      <c r="A76" s="175"/>
      <c r="B76" s="175"/>
      <c r="C76" s="175"/>
      <c r="D76" s="175"/>
      <c r="E76" s="175"/>
      <c r="F76" s="175"/>
      <c r="G76" s="175"/>
      <c r="H76" s="175"/>
    </row>
    <row r="77" spans="1:8" x14ac:dyDescent="0.2">
      <c r="A77" s="175"/>
      <c r="B77" s="175"/>
      <c r="C77" s="175"/>
      <c r="D77" s="175"/>
      <c r="E77" s="175"/>
      <c r="F77" s="175"/>
      <c r="G77" s="175"/>
      <c r="H77" s="175"/>
    </row>
    <row r="78" spans="1:8" x14ac:dyDescent="0.2">
      <c r="A78" s="175"/>
      <c r="B78" s="175"/>
      <c r="C78" s="175"/>
      <c r="D78" s="175"/>
      <c r="E78" s="175"/>
      <c r="F78" s="175"/>
      <c r="G78" s="175"/>
      <c r="H78" s="175"/>
    </row>
    <row r="79" spans="1:8" x14ac:dyDescent="0.2">
      <c r="A79" s="175"/>
      <c r="B79" s="175"/>
      <c r="C79" s="175"/>
      <c r="D79" s="175"/>
      <c r="E79" s="175"/>
      <c r="F79" s="175"/>
      <c r="G79" s="175"/>
      <c r="H79" s="175"/>
    </row>
    <row r="80" spans="1:8" x14ac:dyDescent="0.2">
      <c r="A80" s="175"/>
      <c r="B80" s="175"/>
      <c r="C80" s="175"/>
      <c r="D80" s="175"/>
      <c r="E80" s="175"/>
      <c r="F80" s="175"/>
      <c r="G80" s="175"/>
      <c r="H80" s="175"/>
    </row>
    <row r="81" spans="1:8" x14ac:dyDescent="0.2">
      <c r="A81" s="175"/>
      <c r="B81" s="175"/>
      <c r="C81" s="175"/>
      <c r="D81" s="175"/>
      <c r="E81" s="175"/>
      <c r="F81" s="175"/>
      <c r="G81" s="175"/>
      <c r="H81" s="175"/>
    </row>
    <row r="82" spans="1:8" x14ac:dyDescent="0.2">
      <c r="A82" s="175"/>
      <c r="B82" s="175"/>
      <c r="C82" s="175"/>
      <c r="D82" s="175"/>
      <c r="E82" s="175"/>
      <c r="F82" s="175"/>
      <c r="G82" s="175"/>
      <c r="H82" s="175"/>
    </row>
    <row r="83" spans="1:8" x14ac:dyDescent="0.2">
      <c r="A83" s="175"/>
      <c r="B83" s="175"/>
      <c r="C83" s="175"/>
      <c r="D83" s="175"/>
      <c r="E83" s="175"/>
      <c r="F83" s="175"/>
      <c r="G83" s="175"/>
      <c r="H83" s="175"/>
    </row>
    <row r="84" spans="1:8" x14ac:dyDescent="0.2">
      <c r="A84" s="175"/>
      <c r="B84" s="175"/>
      <c r="C84" s="175"/>
      <c r="D84" s="175"/>
      <c r="E84" s="175"/>
      <c r="F84" s="175"/>
      <c r="G84" s="175"/>
      <c r="H84" s="175"/>
    </row>
    <row r="85" spans="1:8" x14ac:dyDescent="0.2">
      <c r="A85" s="175"/>
      <c r="B85" s="175"/>
      <c r="C85" s="175"/>
      <c r="D85" s="175"/>
      <c r="E85" s="175"/>
      <c r="F85" s="175"/>
      <c r="G85" s="175"/>
      <c r="H85" s="175"/>
    </row>
    <row r="86" spans="1:8" x14ac:dyDescent="0.2">
      <c r="A86" s="175"/>
      <c r="B86" s="175"/>
      <c r="C86" s="175"/>
      <c r="D86" s="175"/>
      <c r="E86" s="175"/>
      <c r="F86" s="175"/>
      <c r="G86" s="175"/>
      <c r="H86" s="175"/>
    </row>
    <row r="87" spans="1:8" x14ac:dyDescent="0.2">
      <c r="A87" s="175"/>
      <c r="B87" s="175"/>
      <c r="C87" s="175"/>
      <c r="D87" s="175"/>
      <c r="E87" s="175"/>
      <c r="F87" s="175"/>
      <c r="G87" s="175"/>
      <c r="H87" s="175"/>
    </row>
    <row r="88" spans="1:8" x14ac:dyDescent="0.2">
      <c r="A88" s="175"/>
      <c r="B88" s="175"/>
      <c r="C88" s="175"/>
      <c r="D88" s="175"/>
      <c r="E88" s="175"/>
      <c r="F88" s="175"/>
      <c r="G88" s="175"/>
      <c r="H88" s="175"/>
    </row>
    <row r="89" spans="1:8" x14ac:dyDescent="0.2">
      <c r="A89" s="175"/>
      <c r="B89" s="175"/>
      <c r="C89" s="175"/>
      <c r="D89" s="175"/>
      <c r="E89" s="175"/>
      <c r="F89" s="175"/>
      <c r="G89" s="175"/>
      <c r="H89" s="175"/>
    </row>
    <row r="90" spans="1:8" x14ac:dyDescent="0.2">
      <c r="A90" s="175"/>
      <c r="B90" s="175"/>
      <c r="C90" s="175"/>
      <c r="D90" s="175"/>
      <c r="E90" s="175"/>
      <c r="F90" s="175"/>
      <c r="G90" s="175"/>
      <c r="H90" s="175"/>
    </row>
    <row r="91" spans="1:8" x14ac:dyDescent="0.2">
      <c r="A91" s="175"/>
      <c r="B91" s="175"/>
      <c r="C91" s="175"/>
      <c r="D91" s="175"/>
      <c r="E91" s="175"/>
      <c r="F91" s="175"/>
      <c r="G91" s="175"/>
      <c r="H91" s="175"/>
    </row>
    <row r="92" spans="1:8" x14ac:dyDescent="0.2">
      <c r="A92" s="175"/>
      <c r="B92" s="175"/>
      <c r="C92" s="175"/>
      <c r="D92" s="175"/>
      <c r="E92" s="175"/>
      <c r="F92" s="175"/>
      <c r="G92" s="175"/>
      <c r="H92" s="175"/>
    </row>
    <row r="93" spans="1:8" x14ac:dyDescent="0.2">
      <c r="A93" s="175"/>
      <c r="B93" s="175"/>
      <c r="C93" s="175"/>
      <c r="D93" s="175"/>
      <c r="E93" s="175"/>
      <c r="F93" s="175"/>
      <c r="G93" s="175"/>
      <c r="H93" s="175"/>
    </row>
    <row r="94" spans="1:8" x14ac:dyDescent="0.2">
      <c r="A94" s="175"/>
      <c r="B94" s="175"/>
      <c r="C94" s="175"/>
      <c r="D94" s="175"/>
      <c r="E94" s="175"/>
      <c r="F94" s="175"/>
      <c r="G94" s="175"/>
      <c r="H94" s="175"/>
    </row>
    <row r="95" spans="1:8" x14ac:dyDescent="0.2">
      <c r="A95" s="175"/>
      <c r="B95" s="175"/>
      <c r="C95" s="175"/>
      <c r="D95" s="175"/>
      <c r="E95" s="175"/>
      <c r="F95" s="175"/>
      <c r="G95" s="175"/>
      <c r="H95" s="175"/>
    </row>
    <row r="96" spans="1:8" x14ac:dyDescent="0.2">
      <c r="A96" s="175"/>
      <c r="B96" s="175"/>
      <c r="C96" s="175"/>
      <c r="D96" s="175"/>
      <c r="E96" s="175"/>
      <c r="F96" s="175"/>
      <c r="G96" s="175"/>
      <c r="H96" s="175"/>
    </row>
    <row r="97" spans="1:8" x14ac:dyDescent="0.2">
      <c r="A97" s="175"/>
      <c r="B97" s="175"/>
      <c r="C97" s="175"/>
      <c r="D97" s="175"/>
      <c r="E97" s="175"/>
      <c r="F97" s="175"/>
      <c r="G97" s="175"/>
      <c r="H97" s="175"/>
    </row>
    <row r="98" spans="1:8" x14ac:dyDescent="0.2">
      <c r="A98" s="175"/>
      <c r="B98" s="175"/>
      <c r="C98" s="175"/>
      <c r="D98" s="175"/>
      <c r="E98" s="175"/>
      <c r="F98" s="175"/>
      <c r="G98" s="175"/>
      <c r="H98" s="175"/>
    </row>
    <row r="99" spans="1:8" x14ac:dyDescent="0.2">
      <c r="A99" s="175"/>
      <c r="B99" s="175"/>
      <c r="C99" s="175"/>
      <c r="D99" s="175"/>
      <c r="E99" s="175"/>
      <c r="F99" s="175"/>
      <c r="G99" s="175"/>
      <c r="H99" s="175"/>
    </row>
    <row r="100" spans="1:8" x14ac:dyDescent="0.2">
      <c r="A100" s="175"/>
    </row>
    <row r="101" spans="1:8" x14ac:dyDescent="0.2">
      <c r="A101" s="175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workbookViewId="0">
      <selection activeCell="G6" sqref="G6"/>
    </sheetView>
  </sheetViews>
  <sheetFormatPr defaultRowHeight="12.75" x14ac:dyDescent="0.2"/>
  <sheetData>
    <row r="1" spans="1:7" x14ac:dyDescent="0.2">
      <c r="A1" s="177" t="s">
        <v>108</v>
      </c>
      <c r="B1" s="176" t="e">
        <f>(SQRT(($B$4^2)-(($B$2-$B$3)/2)^2))*2</f>
        <v>#VALUE!</v>
      </c>
      <c r="C1" s="176" t="e">
        <f>B1/2</f>
        <v>#VALUE!</v>
      </c>
      <c r="D1" s="176" t="e">
        <f>((SQRT(($B$4^2)-(ABS($B$2-$B$3)/2)^2))*2)</f>
        <v>#VALUE!</v>
      </c>
      <c r="E1" s="178" t="s">
        <v>108</v>
      </c>
      <c r="F1" s="179">
        <v>27.712812921102035</v>
      </c>
      <c r="G1" s="176"/>
    </row>
    <row r="2" spans="1:7" x14ac:dyDescent="0.2">
      <c r="A2" s="177" t="s">
        <v>113</v>
      </c>
      <c r="B2" s="176" t="s">
        <v>116</v>
      </c>
      <c r="C2" s="176"/>
      <c r="D2" s="176"/>
      <c r="E2" s="178" t="s">
        <v>113</v>
      </c>
      <c r="F2" s="179">
        <v>1.4274487578895312</v>
      </c>
      <c r="G2" s="176" t="e">
        <f>(ACOS(((($B$3/2)-(($B$2)/2))/$B$4)))</f>
        <v>#VALUE!</v>
      </c>
    </row>
    <row r="3" spans="1:7" x14ac:dyDescent="0.2">
      <c r="A3" s="177" t="s">
        <v>109</v>
      </c>
      <c r="B3" s="176" t="s">
        <v>117</v>
      </c>
      <c r="C3" s="177"/>
      <c r="D3" s="177"/>
      <c r="E3" s="178" t="s">
        <v>109</v>
      </c>
      <c r="F3" s="178">
        <v>2.8548975157790624</v>
      </c>
      <c r="G3" s="177" t="e">
        <f>((ACOS(((($B$3/2)-(($B$2)/2))/$B$4)))*2)</f>
        <v>#VALUE!</v>
      </c>
    </row>
    <row r="4" spans="1:7" x14ac:dyDescent="0.2">
      <c r="A4" s="177" t="s">
        <v>110</v>
      </c>
      <c r="B4" s="176" t="e">
        <f>2*PI()-B3</f>
        <v>#VALUE!</v>
      </c>
      <c r="C4" s="177"/>
      <c r="D4" s="176" t="e">
        <f>(((ACOS(((($B$3/2)-(($B$2)/2))/$B$4)))*2))</f>
        <v>#VALUE!</v>
      </c>
      <c r="E4" s="178" t="s">
        <v>110</v>
      </c>
      <c r="F4" s="178">
        <v>3.4282877914005239</v>
      </c>
      <c r="G4" s="180" t="e">
        <f>(2*PI()-((ACOS(((($B$3/2)-(($B$2)/2))/$B$4)))*2))</f>
        <v>#VALUE!</v>
      </c>
    </row>
    <row r="5" spans="1:7" x14ac:dyDescent="0.2">
      <c r="A5" s="177" t="s">
        <v>111</v>
      </c>
      <c r="B5" s="176" t="e">
        <f>B4*(#REF!/2)</f>
        <v>#VALUE!</v>
      </c>
      <c r="C5" s="176"/>
      <c r="D5" s="176"/>
      <c r="E5" s="178" t="s">
        <v>111</v>
      </c>
      <c r="F5" s="179">
        <v>17.14143895700262</v>
      </c>
      <c r="G5" s="176" t="e">
        <f>(2*PI()-((ACOS(((($B$3/2)-(($B$2)/2))/$B$4)))*2))*($B$3/2)</f>
        <v>#VALUE!</v>
      </c>
    </row>
    <row r="6" spans="1:7" x14ac:dyDescent="0.2">
      <c r="A6" s="177" t="s">
        <v>112</v>
      </c>
      <c r="B6" s="176" t="e">
        <f>B3*(#REF!/2)</f>
        <v>#VALUE!</v>
      </c>
      <c r="C6" s="176"/>
      <c r="D6" s="176"/>
      <c r="E6" s="178" t="s">
        <v>112</v>
      </c>
      <c r="F6" s="179">
        <v>8.564692547337188</v>
      </c>
      <c r="G6" s="176" t="e">
        <f>((ACOS(((($B$3/2)-(($B$2)/2))/$B$4)))*2)*($B$2/2)</f>
        <v>#VALUE!</v>
      </c>
    </row>
    <row r="7" spans="1:7" x14ac:dyDescent="0.2">
      <c r="A7" s="177"/>
      <c r="B7" s="176" t="e">
        <f>B1+B5+B6</f>
        <v>#VALUE!</v>
      </c>
      <c r="C7" s="176"/>
      <c r="D7" s="176"/>
      <c r="E7" s="178"/>
      <c r="F7" s="179">
        <v>53.418944425441843</v>
      </c>
      <c r="G7" s="176" t="e">
        <f>((SQRT(($B$4^2)-(ABS($B$2-$B$3)/2)^2))*2)+(2*PI()-((ACOS(((($B$3/2)-(($B$2)/2))/$B$4)))*2))*($B$3/2)+((ACOS(((($B$3/2)-(($B$2)/2))/$B$4)))*2)*($B$2/2)</f>
        <v>#VALUE!</v>
      </c>
    </row>
    <row r="8" spans="1:7" x14ac:dyDescent="0.2">
      <c r="A8" s="177"/>
      <c r="B8" s="176"/>
      <c r="C8" s="176"/>
      <c r="D8" s="176"/>
      <c r="E8" s="176"/>
      <c r="F8" s="176"/>
      <c r="G8" s="176"/>
    </row>
    <row r="9" spans="1:7" x14ac:dyDescent="0.2">
      <c r="A9" s="177"/>
      <c r="B9" s="176"/>
      <c r="C9" s="176"/>
      <c r="D9" s="176"/>
      <c r="E9" s="176"/>
      <c r="F9" s="176"/>
      <c r="G9" s="176"/>
    </row>
    <row r="10" spans="1:7" x14ac:dyDescent="0.2">
      <c r="A10" s="177"/>
      <c r="B10" s="176"/>
      <c r="C10" s="176"/>
      <c r="D10" s="176"/>
      <c r="E10" s="176"/>
      <c r="F10" s="176"/>
      <c r="G10" s="176"/>
    </row>
    <row r="11" spans="1:7" x14ac:dyDescent="0.2">
      <c r="A11" s="177"/>
      <c r="B11" s="176" t="e">
        <f>IF($B$2&gt;$B$3,((SQRT(($B$4^2)-(($B$2-$B$3)/2)^2))*2)+(((ACOS(((($B$2/2)-(($B$3)/2))/$B$4)))*2)*(($B$3/2))+(2*PI()-$B$19)*($B$2/2)),((SQRT(($B$4^2)-(ABS($B$2-$B$3)/2)^2))*2)+(2*PI()-((ACOS(((($B$3/2)-(($B$2)/2))/$B$4)))*2))*($B$3/2)+((ACOS(((($B$3/2)-(($B$2)/2))/$B$4)))*2)*($B$2/2))</f>
        <v>#VALUE!</v>
      </c>
      <c r="C11" s="176"/>
      <c r="D11" s="176" t="e">
        <f>((SQRT(($B$4^2)-(($B$2-$B$3)/2)^2))*2)</f>
        <v>#VALUE!</v>
      </c>
      <c r="E11" s="176"/>
      <c r="F11" s="176"/>
      <c r="G11" s="176"/>
    </row>
    <row r="12" spans="1:7" x14ac:dyDescent="0.2">
      <c r="A12" s="181"/>
      <c r="B12" s="176"/>
      <c r="C12" s="176"/>
      <c r="D12" s="176" t="e">
        <f>(((ACOS(((($B$2/2)-(($B$3)/2))/$B$4)))*2)*($B$3/2))</f>
        <v>#VALUE!</v>
      </c>
      <c r="E12" s="176"/>
      <c r="F12" s="176"/>
      <c r="G12" s="176"/>
    </row>
    <row r="13" spans="1:7" x14ac:dyDescent="0.2">
      <c r="A13" s="177"/>
      <c r="B13" s="176"/>
      <c r="C13" s="176"/>
      <c r="D13" s="176">
        <f>(2*PI()-$B$19)</f>
        <v>6.2831853071795862</v>
      </c>
      <c r="E13" s="176"/>
      <c r="F13" s="176"/>
      <c r="G13" s="176"/>
    </row>
    <row r="14" spans="1:7" x14ac:dyDescent="0.2">
      <c r="A14" s="176"/>
      <c r="B14" s="176"/>
      <c r="C14" s="176"/>
      <c r="D14" s="176"/>
      <c r="E14" s="176"/>
      <c r="F14" s="176"/>
      <c r="G14" s="176"/>
    </row>
    <row r="15" spans="1:7" x14ac:dyDescent="0.2">
      <c r="A15" s="176"/>
      <c r="B15" s="176"/>
      <c r="C15" s="176"/>
      <c r="D15" s="176" t="e">
        <f>(2*PI()-$B$19)*($B$2/2)</f>
        <v>#VALUE!</v>
      </c>
      <c r="E15" s="176"/>
      <c r="F15" s="176"/>
      <c r="G15" s="176"/>
    </row>
    <row r="16" spans="1:7" x14ac:dyDescent="0.2">
      <c r="A16" s="176"/>
      <c r="B16" s="176"/>
      <c r="C16" s="176"/>
      <c r="D16" s="176"/>
      <c r="E16" s="176"/>
      <c r="F16" s="176"/>
      <c r="G16" s="176"/>
    </row>
    <row r="17" spans="1:7" x14ac:dyDescent="0.2">
      <c r="A17" s="181"/>
      <c r="B17" s="176"/>
      <c r="C17" s="176"/>
      <c r="D17" s="176"/>
      <c r="E17" s="176"/>
      <c r="F17" s="176"/>
      <c r="G17" s="176"/>
    </row>
    <row r="18" spans="1:7" x14ac:dyDescent="0.2">
      <c r="A18" s="176"/>
      <c r="B18" s="176"/>
      <c r="C18" s="176"/>
      <c r="D18" s="176"/>
      <c r="E18" s="176"/>
      <c r="F18" s="176"/>
      <c r="G18" s="176"/>
    </row>
    <row r="19" spans="1:7" x14ac:dyDescent="0.2">
      <c r="A19" s="176"/>
      <c r="B19" s="176"/>
      <c r="C19" s="176"/>
      <c r="D19" s="176" t="e">
        <f>((SQRT(($B$4^2)-(($B$2-$B$3)/2)^2))*2)+(((ACOS(((($B$2/2)-(($B$3)/2))/$B$4)))*2)*(($B$3/2))+(2*PI()-$B$19)*($B$2/2))</f>
        <v>#VALUE!</v>
      </c>
      <c r="E19" s="176"/>
      <c r="F19" s="176"/>
      <c r="G19" s="176"/>
    </row>
    <row r="20" spans="1:7" ht="13.5" thickBot="1" x14ac:dyDescent="0.25">
      <c r="A20" s="176"/>
      <c r="B20" s="176"/>
      <c r="C20" s="176"/>
      <c r="D20" s="176" t="s">
        <v>115</v>
      </c>
      <c r="E20" s="176"/>
      <c r="F20" s="176"/>
      <c r="G20" s="176"/>
    </row>
    <row r="21" spans="1:7" ht="13.5" thickBot="1" x14ac:dyDescent="0.25">
      <c r="D21" s="167" t="e">
        <f>IF($B$2&gt;$B$3,((SQRT(($B$4^2)-(($B$2-$B$3)/2)^2))*2)+(((ACOS(((($B$2/2)-(($B$3)/2))/$B$4)))*2)*(($B$3/2))+(2*PI()-((ACOS(((($B$2/2)-(($B$3)/2))/$B$4)))*2))*($B$2/2)),((SQRT(($B$4^2)-(ABS($B$2-$B$3)/2)^2))*2)+(2*PI()-((ACOS(((($B$3/2)-(($B$2)/2))/$B$4)))*2))*($B$3/2)+((ACOS(((($B$3/2)-(($B$2)/2))/$B$4)))*2)*($B$2/2)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Triangles</vt:lpstr>
      <vt:lpstr>Circles</vt:lpstr>
      <vt:lpstr>Rectangles</vt:lpstr>
      <vt:lpstr>Liquids</vt:lpstr>
      <vt:lpstr>Tanks</vt:lpstr>
      <vt:lpstr>Oct &amp; Hex</vt:lpstr>
      <vt:lpstr>Pulleys and belts</vt:lpstr>
      <vt:lpstr>Belt length formulas</vt:lpstr>
    </vt:vector>
  </TitlesOfParts>
  <Company>Hyundai Semiconductor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Hyundai</dc:creator>
  <cp:lastModifiedBy>grayc</cp:lastModifiedBy>
  <dcterms:created xsi:type="dcterms:W3CDTF">2002-04-21T23:40:20Z</dcterms:created>
  <dcterms:modified xsi:type="dcterms:W3CDTF">2019-12-10T01:05:47Z</dcterms:modified>
</cp:coreProperties>
</file>